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op\OneDrive\Desktop\"/>
    </mc:Choice>
  </mc:AlternateContent>
  <xr:revisionPtr revIDLastSave="0" documentId="13_ncr:1_{16EA06FB-B8E4-408C-A91F-D228F015E86E}" xr6:coauthVersionLast="47" xr6:coauthVersionMax="47" xr10:uidLastSave="{00000000-0000-0000-0000-000000000000}"/>
  <bookViews>
    <workbookView xWindow="-108" yWindow="-108" windowWidth="23256" windowHeight="13896" xr2:uid="{4A19C184-852F-405E-8568-3406DB7B79D5}"/>
  </bookViews>
  <sheets>
    <sheet name="Financials" sheetId="1" r:id="rId1"/>
    <sheet name="Estimates" sheetId="2" r:id="rId2"/>
    <sheet name="Valuation" sheetId="4" r:id="rId3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N40" i="2"/>
  <c r="M40" i="2"/>
  <c r="G52" i="2"/>
  <c r="G40" i="2" s="1"/>
  <c r="D20" i="2"/>
  <c r="L20" i="2"/>
  <c r="K20" i="2"/>
  <c r="J20" i="2"/>
  <c r="I20" i="2"/>
  <c r="G20" i="2"/>
  <c r="F20" i="2"/>
  <c r="E20" i="2"/>
  <c r="L78" i="2"/>
  <c r="L52" i="2" s="1"/>
  <c r="L40" i="2" s="1"/>
  <c r="K78" i="2"/>
  <c r="K52" i="2" s="1"/>
  <c r="K40" i="2" s="1"/>
  <c r="J78" i="2"/>
  <c r="J52" i="2" s="1"/>
  <c r="J40" i="2" s="1"/>
  <c r="I78" i="2"/>
  <c r="I52" i="2" s="1"/>
  <c r="I40" i="2" s="1"/>
  <c r="G78" i="2"/>
  <c r="F78" i="2"/>
  <c r="E78" i="2"/>
  <c r="D78" i="2"/>
  <c r="C49" i="2"/>
  <c r="B49" i="2"/>
  <c r="C53" i="2"/>
  <c r="B53" i="2"/>
  <c r="C52" i="2"/>
  <c r="C40" i="2" s="1"/>
  <c r="B52" i="2"/>
  <c r="B40" i="2" s="1"/>
  <c r="C34" i="2"/>
  <c r="H34" i="2" s="1"/>
  <c r="G34" i="2" s="1"/>
  <c r="B34" i="2"/>
  <c r="B24" i="4" s="1"/>
  <c r="B25" i="4" s="1"/>
  <c r="H70" i="2"/>
  <c r="M70" i="2" s="1"/>
  <c r="N70" i="2" s="1"/>
  <c r="C72" i="2"/>
  <c r="H72" i="2" s="1"/>
  <c r="F31" i="2" s="1"/>
  <c r="B72" i="2"/>
  <c r="C71" i="2"/>
  <c r="H71" i="2" s="1"/>
  <c r="E30" i="2" s="1"/>
  <c r="B71" i="2"/>
  <c r="N74" i="2"/>
  <c r="M74" i="2"/>
  <c r="H19" i="2"/>
  <c r="M19" i="2" s="1"/>
  <c r="N19" i="2" s="1"/>
  <c r="H18" i="2"/>
  <c r="M18" i="2" s="1"/>
  <c r="N18" i="2" s="1"/>
  <c r="H17" i="2"/>
  <c r="M17" i="2" s="1"/>
  <c r="N17" i="2" s="1"/>
  <c r="H16" i="2"/>
  <c r="E16" i="2" s="1"/>
  <c r="H14" i="2"/>
  <c r="M14" i="2" s="1"/>
  <c r="N14" i="2" s="1"/>
  <c r="H13" i="2"/>
  <c r="M13" i="2" s="1"/>
  <c r="N13" i="2" s="1"/>
  <c r="H12" i="2"/>
  <c r="M12" i="2" s="1"/>
  <c r="J12" i="2" s="1"/>
  <c r="C25" i="2"/>
  <c r="C69" i="2" s="1"/>
  <c r="H69" i="2" s="1"/>
  <c r="M69" i="2" s="1"/>
  <c r="N69" i="2" s="1"/>
  <c r="B15" i="2"/>
  <c r="C10" i="2"/>
  <c r="C11" i="2"/>
  <c r="B11" i="2"/>
  <c r="B10" i="2" s="1"/>
  <c r="B25" i="2" s="1"/>
  <c r="B69" i="2" s="1"/>
  <c r="C15" i="2"/>
  <c r="C50" i="2"/>
  <c r="B50" i="2"/>
  <c r="C42" i="2"/>
  <c r="B42" i="2"/>
  <c r="C41" i="2"/>
  <c r="B41" i="2"/>
  <c r="C29" i="2"/>
  <c r="C32" i="2" s="1"/>
  <c r="C33" i="2" s="1"/>
  <c r="B29" i="2"/>
  <c r="B32" i="2" s="1"/>
  <c r="B33" i="2" s="1"/>
  <c r="C14" i="1"/>
  <c r="D14" i="1"/>
  <c r="E14" i="1"/>
  <c r="B44" i="2" s="1"/>
  <c r="F14" i="1"/>
  <c r="C44" i="2" s="1"/>
  <c r="B14" i="1"/>
  <c r="C16" i="4" l="1"/>
  <c r="C18" i="4" s="1"/>
  <c r="L12" i="2"/>
  <c r="G31" i="2"/>
  <c r="E31" i="2"/>
  <c r="D31" i="2"/>
  <c r="D52" i="2"/>
  <c r="D40" i="2" s="1"/>
  <c r="C26" i="2"/>
  <c r="E52" i="2"/>
  <c r="E40" i="2" s="1"/>
  <c r="J19" i="2"/>
  <c r="D12" i="2"/>
  <c r="B26" i="2"/>
  <c r="F52" i="2"/>
  <c r="F40" i="2" s="1"/>
  <c r="L17" i="2"/>
  <c r="L18" i="2"/>
  <c r="L19" i="2"/>
  <c r="D30" i="2"/>
  <c r="G30" i="2"/>
  <c r="F30" i="2"/>
  <c r="E17" i="2"/>
  <c r="E18" i="2"/>
  <c r="B51" i="2"/>
  <c r="B9" i="4" s="1"/>
  <c r="H15" i="2"/>
  <c r="J18" i="2"/>
  <c r="B54" i="2"/>
  <c r="C54" i="2"/>
  <c r="C51" i="2"/>
  <c r="C9" i="4" s="1"/>
  <c r="D16" i="2"/>
  <c r="D17" i="2"/>
  <c r="D34" i="2"/>
  <c r="G18" i="2"/>
  <c r="D19" i="2"/>
  <c r="F34" i="2"/>
  <c r="E19" i="2"/>
  <c r="E34" i="2"/>
  <c r="F19" i="2"/>
  <c r="C17" i="4"/>
  <c r="G19" i="2"/>
  <c r="C6" i="4"/>
  <c r="C8" i="4" s="1"/>
  <c r="B7" i="4"/>
  <c r="D18" i="2"/>
  <c r="J17" i="2"/>
  <c r="B13" i="4"/>
  <c r="B11" i="4"/>
  <c r="B12" i="4"/>
  <c r="M34" i="2"/>
  <c r="H24" i="4"/>
  <c r="B16" i="4"/>
  <c r="B18" i="4" s="1"/>
  <c r="F13" i="2"/>
  <c r="F14" i="2"/>
  <c r="C5" i="2"/>
  <c r="C5" i="4" s="1"/>
  <c r="F17" i="2"/>
  <c r="C10" i="4"/>
  <c r="I13" i="2"/>
  <c r="K12" i="2"/>
  <c r="G12" i="2"/>
  <c r="I14" i="2"/>
  <c r="C24" i="4"/>
  <c r="C25" i="4" s="1"/>
  <c r="G13" i="2"/>
  <c r="K17" i="2"/>
  <c r="G14" i="2"/>
  <c r="I17" i="2"/>
  <c r="K18" i="2"/>
  <c r="B15" i="4"/>
  <c r="F12" i="2"/>
  <c r="B17" i="4"/>
  <c r="F16" i="2"/>
  <c r="K13" i="2"/>
  <c r="K14" i="2"/>
  <c r="G16" i="2"/>
  <c r="I18" i="2"/>
  <c r="K19" i="2"/>
  <c r="C7" i="4"/>
  <c r="F18" i="2"/>
  <c r="I12" i="2"/>
  <c r="C15" i="4"/>
  <c r="B6" i="4"/>
  <c r="B8" i="4" s="1"/>
  <c r="G17" i="2"/>
  <c r="I19" i="2"/>
  <c r="E12" i="2"/>
  <c r="L13" i="2"/>
  <c r="D13" i="2"/>
  <c r="E13" i="2"/>
  <c r="J13" i="2"/>
  <c r="L14" i="2"/>
  <c r="D14" i="2"/>
  <c r="B10" i="4"/>
  <c r="E14" i="2"/>
  <c r="J14" i="2"/>
  <c r="M72" i="2"/>
  <c r="H31" i="2"/>
  <c r="M16" i="2"/>
  <c r="H11" i="2"/>
  <c r="B73" i="2"/>
  <c r="C73" i="2"/>
  <c r="B68" i="2"/>
  <c r="C68" i="2"/>
  <c r="H68" i="2" s="1"/>
  <c r="M68" i="2" s="1"/>
  <c r="N68" i="2" s="1"/>
  <c r="N12" i="2"/>
  <c r="N11" i="2" s="1"/>
  <c r="M11" i="2"/>
  <c r="M71" i="2"/>
  <c r="H30" i="2"/>
  <c r="B5" i="2"/>
  <c r="B5" i="4" s="1"/>
  <c r="B14" i="4" l="1"/>
  <c r="E15" i="2"/>
  <c r="H10" i="2"/>
  <c r="H25" i="2" s="1"/>
  <c r="H15" i="4" s="1"/>
  <c r="J11" i="2"/>
  <c r="D15" i="2"/>
  <c r="M24" i="4"/>
  <c r="J34" i="2"/>
  <c r="K34" i="2"/>
  <c r="L34" i="2"/>
  <c r="I34" i="2"/>
  <c r="I30" i="2"/>
  <c r="J30" i="2"/>
  <c r="K30" i="2"/>
  <c r="L30" i="2"/>
  <c r="L11" i="2"/>
  <c r="N34" i="2"/>
  <c r="N24" i="4" s="1"/>
  <c r="M31" i="2"/>
  <c r="J31" i="2"/>
  <c r="I31" i="2"/>
  <c r="K31" i="2"/>
  <c r="L31" i="2"/>
  <c r="D11" i="2"/>
  <c r="G11" i="2"/>
  <c r="I11" i="2"/>
  <c r="K11" i="2"/>
  <c r="G15" i="2"/>
  <c r="M15" i="2"/>
  <c r="J16" i="2"/>
  <c r="L16" i="2"/>
  <c r="I16" i="2"/>
  <c r="I15" i="2" s="1"/>
  <c r="K16" i="2"/>
  <c r="C14" i="4"/>
  <c r="C13" i="4"/>
  <c r="C12" i="4"/>
  <c r="C11" i="4"/>
  <c r="F15" i="2"/>
  <c r="N16" i="2"/>
  <c r="N15" i="2" s="1"/>
  <c r="N10" i="2" s="1"/>
  <c r="N25" i="2" s="1"/>
  <c r="F11" i="2"/>
  <c r="H28" i="2"/>
  <c r="H27" i="2"/>
  <c r="E11" i="2"/>
  <c r="E10" i="2" s="1"/>
  <c r="E25" i="2" s="1"/>
  <c r="N72" i="2"/>
  <c r="N31" i="2" s="1"/>
  <c r="N71" i="2"/>
  <c r="N30" i="2" s="1"/>
  <c r="M30" i="2"/>
  <c r="D10" i="2" l="1"/>
  <c r="D25" i="2" s="1"/>
  <c r="H10" i="4"/>
  <c r="H50" i="2"/>
  <c r="F50" i="2" s="1"/>
  <c r="F10" i="2"/>
  <c r="F25" i="2" s="1"/>
  <c r="F27" i="2"/>
  <c r="F28" i="2"/>
  <c r="G10" i="2"/>
  <c r="G25" i="2" s="1"/>
  <c r="D28" i="2"/>
  <c r="D27" i="2"/>
  <c r="D29" i="2" s="1"/>
  <c r="D32" i="2" s="1"/>
  <c r="D33" i="2" s="1"/>
  <c r="E27" i="2"/>
  <c r="E26" i="2" s="1"/>
  <c r="E28" i="2"/>
  <c r="I10" i="2"/>
  <c r="I25" i="2" s="1"/>
  <c r="H29" i="2"/>
  <c r="N50" i="2"/>
  <c r="N15" i="4"/>
  <c r="N10" i="4"/>
  <c r="L15" i="2"/>
  <c r="L10" i="2" s="1"/>
  <c r="L25" i="2" s="1"/>
  <c r="K15" i="2"/>
  <c r="K10" i="2" s="1"/>
  <c r="K25" i="2" s="1"/>
  <c r="J15" i="2"/>
  <c r="J10" i="2" s="1"/>
  <c r="J25" i="2" s="1"/>
  <c r="M10" i="2"/>
  <c r="M25" i="2" s="1"/>
  <c r="H26" i="2"/>
  <c r="N27" i="2"/>
  <c r="N28" i="2"/>
  <c r="N26" i="2"/>
  <c r="E50" i="2" l="1"/>
  <c r="G50" i="2"/>
  <c r="D50" i="2"/>
  <c r="D5" i="2"/>
  <c r="D44" i="2"/>
  <c r="F26" i="2"/>
  <c r="D26" i="2"/>
  <c r="H32" i="2"/>
  <c r="H33" i="2" s="1"/>
  <c r="H5" i="2" s="1"/>
  <c r="H5" i="4" s="1"/>
  <c r="E29" i="2"/>
  <c r="E32" i="2" s="1"/>
  <c r="E33" i="2" s="1"/>
  <c r="E5" i="2" s="1"/>
  <c r="G27" i="2"/>
  <c r="G26" i="2" s="1"/>
  <c r="G28" i="2"/>
  <c r="J27" i="2"/>
  <c r="J26" i="2" s="1"/>
  <c r="J28" i="2"/>
  <c r="L28" i="2"/>
  <c r="L27" i="2"/>
  <c r="L29" i="2" s="1"/>
  <c r="L32" i="2" s="1"/>
  <c r="L33" i="2" s="1"/>
  <c r="L5" i="2" s="1"/>
  <c r="F29" i="2"/>
  <c r="F32" i="2" s="1"/>
  <c r="F33" i="2" s="1"/>
  <c r="F5" i="2" s="1"/>
  <c r="K28" i="2"/>
  <c r="K27" i="2"/>
  <c r="K29" i="2" s="1"/>
  <c r="K32" i="2" s="1"/>
  <c r="K33" i="2" s="1"/>
  <c r="K5" i="2" s="1"/>
  <c r="I27" i="2"/>
  <c r="I26" i="2" s="1"/>
  <c r="I28" i="2"/>
  <c r="M10" i="4"/>
  <c r="M50" i="2"/>
  <c r="M15" i="4"/>
  <c r="M27" i="2"/>
  <c r="M28" i="2"/>
  <c r="M26" i="2"/>
  <c r="N29" i="2"/>
  <c r="H44" i="2" l="1"/>
  <c r="H7" i="4" s="1"/>
  <c r="K26" i="2"/>
  <c r="L26" i="2"/>
  <c r="H49" i="2"/>
  <c r="H51" i="2" s="1"/>
  <c r="L50" i="2"/>
  <c r="J50" i="2"/>
  <c r="K50" i="2"/>
  <c r="I50" i="2"/>
  <c r="I29" i="2"/>
  <c r="I32" i="2" s="1"/>
  <c r="I33" i="2" s="1"/>
  <c r="I5" i="2" s="1"/>
  <c r="J29" i="2"/>
  <c r="J32" i="2" s="1"/>
  <c r="J33" i="2" s="1"/>
  <c r="J5" i="2" s="1"/>
  <c r="G29" i="2"/>
  <c r="G32" i="2" s="1"/>
  <c r="G33" i="2" s="1"/>
  <c r="G5" i="2" s="1"/>
  <c r="N32" i="2"/>
  <c r="N33" i="2" s="1"/>
  <c r="N5" i="2" s="1"/>
  <c r="N5" i="4" s="1"/>
  <c r="M29" i="2"/>
  <c r="H16" i="4" l="1"/>
  <c r="H18" i="4" s="1"/>
  <c r="H17" i="4"/>
  <c r="H6" i="4"/>
  <c r="H8" i="4" s="1"/>
  <c r="D49" i="2"/>
  <c r="D51" i="2" s="1"/>
  <c r="D53" i="2" s="1"/>
  <c r="D42" i="2" s="1"/>
  <c r="E49" i="2"/>
  <c r="E51" i="2" s="1"/>
  <c r="F49" i="2"/>
  <c r="F51" i="2" s="1"/>
  <c r="G49" i="2"/>
  <c r="G51" i="2" s="1"/>
  <c r="E53" i="2"/>
  <c r="I44" i="2"/>
  <c r="J44" i="2" s="1"/>
  <c r="K44" i="2" s="1"/>
  <c r="L44" i="2" s="1"/>
  <c r="M32" i="2"/>
  <c r="M33" i="2" s="1"/>
  <c r="H9" i="4"/>
  <c r="H53" i="2"/>
  <c r="H42" i="2" s="1"/>
  <c r="N49" i="2"/>
  <c r="D54" i="2" l="1"/>
  <c r="D43" i="2" s="1"/>
  <c r="E54" i="2"/>
  <c r="E43" i="2" s="1"/>
  <c r="F53" i="2"/>
  <c r="E42" i="2"/>
  <c r="N6" i="4"/>
  <c r="N8" i="4" s="1"/>
  <c r="N51" i="2"/>
  <c r="H54" i="2"/>
  <c r="H43" i="2" s="1"/>
  <c r="H25" i="4" s="1"/>
  <c r="M44" i="2"/>
  <c r="M5" i="2"/>
  <c r="M5" i="4" s="1"/>
  <c r="M49" i="2"/>
  <c r="H11" i="4" l="1"/>
  <c r="H12" i="4"/>
  <c r="H13" i="4"/>
  <c r="H14" i="4"/>
  <c r="F54" i="2"/>
  <c r="F43" i="2" s="1"/>
  <c r="G53" i="2"/>
  <c r="F42" i="2"/>
  <c r="L49" i="2"/>
  <c r="L51" i="2" s="1"/>
  <c r="K49" i="2"/>
  <c r="K51" i="2" s="1"/>
  <c r="J49" i="2"/>
  <c r="J51" i="2" s="1"/>
  <c r="I49" i="2"/>
  <c r="I51" i="2" s="1"/>
  <c r="I53" i="2" s="1"/>
  <c r="M6" i="4"/>
  <c r="M8" i="4" s="1"/>
  <c r="M51" i="2"/>
  <c r="M7" i="4"/>
  <c r="N44" i="2"/>
  <c r="M17" i="4"/>
  <c r="M16" i="4"/>
  <c r="M18" i="4" s="1"/>
  <c r="N9" i="4"/>
  <c r="I54" i="2" l="1"/>
  <c r="I43" i="2" s="1"/>
  <c r="J53" i="2"/>
  <c r="I42" i="2"/>
  <c r="G54" i="2"/>
  <c r="G43" i="2" s="1"/>
  <c r="G42" i="2"/>
  <c r="N7" i="4"/>
  <c r="N17" i="4"/>
  <c r="N16" i="4"/>
  <c r="N18" i="4" s="1"/>
  <c r="M9" i="4"/>
  <c r="M53" i="2"/>
  <c r="M42" i="2" s="1"/>
  <c r="K53" i="2" l="1"/>
  <c r="J54" i="2"/>
  <c r="J43" i="2" s="1"/>
  <c r="J42" i="2"/>
  <c r="M54" i="2"/>
  <c r="M43" i="2" s="1"/>
  <c r="M25" i="4" s="1"/>
  <c r="N53" i="2"/>
  <c r="E44" i="2"/>
  <c r="F44" i="2" s="1"/>
  <c r="G44" i="2" s="1"/>
  <c r="N54" i="2" l="1"/>
  <c r="N43" i="2" s="1"/>
  <c r="N25" i="4" s="1"/>
  <c r="N42" i="2"/>
  <c r="M11" i="4"/>
  <c r="M12" i="4"/>
  <c r="M13" i="4"/>
  <c r="M14" i="4"/>
  <c r="K54" i="2"/>
  <c r="K43" i="2" s="1"/>
  <c r="L53" i="2"/>
  <c r="K42" i="2"/>
  <c r="N11" i="4" l="1"/>
  <c r="N12" i="4"/>
  <c r="N13" i="4"/>
  <c r="N14" i="4"/>
  <c r="L54" i="2"/>
  <c r="L43" i="2" s="1"/>
  <c r="L42" i="2"/>
</calcChain>
</file>

<file path=xl/sharedStrings.xml><?xml version="1.0" encoding="utf-8"?>
<sst xmlns="http://schemas.openxmlformats.org/spreadsheetml/2006/main" count="304" uniqueCount="173">
  <si>
    <t>Nasdaq, Inc.</t>
  </si>
  <si>
    <t>DEC '21</t>
  </si>
  <si>
    <t>DEC '22</t>
  </si>
  <si>
    <t>DEC '23</t>
  </si>
  <si>
    <t>DEC '24</t>
  </si>
  <si>
    <t>DEC '25</t>
  </si>
  <si>
    <t>Income Statement</t>
  </si>
  <si>
    <t>Sales</t>
  </si>
  <si>
    <t>Total Expense</t>
  </si>
  <si>
    <t>Operating Income</t>
  </si>
  <si>
    <t>Net Income</t>
  </si>
  <si>
    <t>Balance Sheet</t>
  </si>
  <si>
    <t>Cash &amp; Short-Term Investments</t>
  </si>
  <si>
    <t>Total Assets</t>
  </si>
  <si>
    <t>Total Debt</t>
  </si>
  <si>
    <t>Net Debt</t>
  </si>
  <si>
    <t>Total Liabilities</t>
  </si>
  <si>
    <t>Total Shareholders' Equity</t>
  </si>
  <si>
    <t>Cash Flow</t>
  </si>
  <si>
    <t>Net Operating Cash Flow</t>
  </si>
  <si>
    <t>Capital Expenditures</t>
  </si>
  <si>
    <t>Net Investing Cash Flow</t>
  </si>
  <si>
    <t>Net Financing Cash Flow</t>
  </si>
  <si>
    <t>Free Cash Flow</t>
  </si>
  <si>
    <t>Supplemental</t>
  </si>
  <si>
    <t>Stock Option Comp Exp (Net of Tax)</t>
  </si>
  <si>
    <t>Operating Lease Commitments</t>
  </si>
  <si>
    <t>Long Term Debt Maturities</t>
  </si>
  <si>
    <t>Profitability</t>
  </si>
  <si>
    <t xml:space="preserve"> Profitability(%)</t>
  </si>
  <si>
    <t>Gross Margin</t>
  </si>
  <si>
    <t>SG&amp;A to Sales</t>
  </si>
  <si>
    <t>Operating Margin</t>
  </si>
  <si>
    <t>Pretax Margin</t>
  </si>
  <si>
    <t>Net Margin</t>
  </si>
  <si>
    <t>Free Cash Flow Margin</t>
  </si>
  <si>
    <t>Capex To Sales</t>
  </si>
  <si>
    <t>Return on Assets</t>
  </si>
  <si>
    <t>Return on Equity</t>
  </si>
  <si>
    <t>Return on Common Equity</t>
  </si>
  <si>
    <t>Return on Total Capital</t>
  </si>
  <si>
    <t>Return on Invested Capital</t>
  </si>
  <si>
    <t>Cash Flow Return on Invested Capital (%)</t>
  </si>
  <si>
    <t>Note: EBIT Return on Assets (%)</t>
  </si>
  <si>
    <t>Note: Interest as % Assets</t>
  </si>
  <si>
    <t>Coverage and Leverage (x)</t>
  </si>
  <si>
    <t xml:space="preserve"> Coverage (x)</t>
  </si>
  <si>
    <t>EBIT / Interest Expense (Int. Coverage)</t>
  </si>
  <si>
    <t>Fixed-charge Coverage Ratio</t>
  </si>
  <si>
    <t>CFO/Interest Expense</t>
  </si>
  <si>
    <t>Cash Dividend Coverage Ratio</t>
  </si>
  <si>
    <t>Net Debt/FFO</t>
  </si>
  <si>
    <t>LT Debt/FFO</t>
  </si>
  <si>
    <t>FCF/Total Debt</t>
  </si>
  <si>
    <t>CFO/Total Debt</t>
  </si>
  <si>
    <t>Total Debt/T12M EBITDA</t>
  </si>
  <si>
    <t>Total Debt/EBIT</t>
  </si>
  <si>
    <t>EBITDA-Capex/Interest Expense</t>
  </si>
  <si>
    <t xml:space="preserve"> Leverage (%)</t>
  </si>
  <si>
    <t>LT Debt/Total Equity</t>
  </si>
  <si>
    <t>LT Debt/Total Capital</t>
  </si>
  <si>
    <t>LT Debt/Total Assets</t>
  </si>
  <si>
    <t>Total Debt/Total Assets</t>
  </si>
  <si>
    <t>Net Debt/Total Equity</t>
  </si>
  <si>
    <t>Total Debt/Equity</t>
  </si>
  <si>
    <t>Net Debt/Total Capital</t>
  </si>
  <si>
    <t>Total Debt/Total Capital</t>
  </si>
  <si>
    <t>Valuation</t>
  </si>
  <si>
    <t>Per Share</t>
  </si>
  <si>
    <t>Sales per Share</t>
  </si>
  <si>
    <t>EPS (recurring)</t>
  </si>
  <si>
    <t>EPS (diluted)</t>
  </si>
  <si>
    <t>EPS (basic)</t>
  </si>
  <si>
    <t>Dividends per Share</t>
  </si>
  <si>
    <t>Cash per Share</t>
  </si>
  <si>
    <t>Book Value per Share</t>
  </si>
  <si>
    <t>Tangible Book Value per Share</t>
  </si>
  <si>
    <t>Operating Cash flow per Share</t>
  </si>
  <si>
    <t>Free Cash Flow per Share</t>
  </si>
  <si>
    <t>Shares</t>
  </si>
  <si>
    <t>Diluted Shares Outstanding</t>
  </si>
  <si>
    <t>Basic Shares Outstanding</t>
  </si>
  <si>
    <t>Total Shares Outstanding</t>
  </si>
  <si>
    <t>Ratios</t>
  </si>
  <si>
    <t>Price / Earnings</t>
  </si>
  <si>
    <t>Price / Sales</t>
  </si>
  <si>
    <t>Price / Book Value</t>
  </si>
  <si>
    <t>Price / Cash Flow</t>
  </si>
  <si>
    <t>Price / Free Cash Flow</t>
  </si>
  <si>
    <t>Dividend Yield (%)</t>
  </si>
  <si>
    <t>All figures in millions of U.S. Dollar except per share items.</t>
  </si>
  <si>
    <t>Earnings Per Share</t>
  </si>
  <si>
    <t>Dec '24</t>
  </si>
  <si>
    <t>Dec '25</t>
  </si>
  <si>
    <t>Mar '26E</t>
  </si>
  <si>
    <t>Jun '26E</t>
  </si>
  <si>
    <t>Sep '26E</t>
  </si>
  <si>
    <t>Dec '26E</t>
  </si>
  <si>
    <t>Mar '27E</t>
  </si>
  <si>
    <t>Jun '27E</t>
  </si>
  <si>
    <t>Sep '27E</t>
  </si>
  <si>
    <t>Dec '27E</t>
  </si>
  <si>
    <t>Dec '28E</t>
  </si>
  <si>
    <t xml:space="preserve">Q1  </t>
  </si>
  <si>
    <t xml:space="preserve">Q2  </t>
  </si>
  <si>
    <t xml:space="preserve">Q3  </t>
  </si>
  <si>
    <t xml:space="preserve">Q4  </t>
  </si>
  <si>
    <t>EPS</t>
  </si>
  <si>
    <t>Product Segments (M)</t>
  </si>
  <si>
    <t>Capital Access Platforms</t>
  </si>
  <si>
    <t>- Data and Listing Services</t>
  </si>
  <si>
    <t>- Index</t>
  </si>
  <si>
    <t>- Workflow and Insights</t>
  </si>
  <si>
    <t>Financial Technology</t>
  </si>
  <si>
    <t>- Regulatory Technology</t>
  </si>
  <si>
    <t>- Capital Markets Technology</t>
  </si>
  <si>
    <t>- Financial Crime Management Technology</t>
  </si>
  <si>
    <t>Market Services</t>
  </si>
  <si>
    <t>Income Statement (M)</t>
  </si>
  <si>
    <t>Operating Expense</t>
  </si>
  <si>
    <t>EBITDA</t>
  </si>
  <si>
    <t>Depr. &amp; Amort.</t>
  </si>
  <si>
    <t>Interest Income</t>
  </si>
  <si>
    <t>Interest Expense</t>
  </si>
  <si>
    <t>Pretax Income</t>
  </si>
  <si>
    <t>Balance Sheet (M)</t>
  </si>
  <si>
    <t>Current Assets</t>
  </si>
  <si>
    <t>Cash and Cash Equivalents</t>
  </si>
  <si>
    <t>Shareholder Equity</t>
  </si>
  <si>
    <t>Cash Flow (M)</t>
  </si>
  <si>
    <t>Price/Earnings (x)</t>
  </si>
  <si>
    <t>Price/Operating Cash Flow (x)</t>
  </si>
  <si>
    <t>Price/Book Value (x)</t>
  </si>
  <si>
    <t>Price/Cash Flow (x)</t>
  </si>
  <si>
    <t>Price/Free Cash Flow (x)</t>
  </si>
  <si>
    <t>Price/Sales (x)</t>
  </si>
  <si>
    <t>Enterprise Value/Sales (x)</t>
  </si>
  <si>
    <t>Enterprise Value/EBITDA (x)</t>
  </si>
  <si>
    <t>Enterprise Value/EBIT (x)</t>
  </si>
  <si>
    <t>Enterprise Value/FCF (x)</t>
  </si>
  <si>
    <t>Sales/Share (x)</t>
  </si>
  <si>
    <t>Return on Equity (ROE) (%)</t>
  </si>
  <si>
    <t>Operating Return on Shareholder's Equity (%)</t>
  </si>
  <si>
    <t>Net Income Return on SH Equity (%)</t>
  </si>
  <si>
    <t>Valuation data as of 17 Mar '26</t>
  </si>
  <si>
    <t>Valuation Estimates</t>
  </si>
  <si>
    <t>Drivers</t>
  </si>
  <si>
    <t>Data &amp; Listing growth</t>
  </si>
  <si>
    <t>Index growth</t>
  </si>
  <si>
    <t>Workflow &amp; Insights growth</t>
  </si>
  <si>
    <t>Regulatory Tech growth</t>
  </si>
  <si>
    <t>Capital Markets Tech growth</t>
  </si>
  <si>
    <t>Market Services growth</t>
  </si>
  <si>
    <t>Other revenue</t>
  </si>
  <si>
    <t>EBITDA margin</t>
  </si>
  <si>
    <t>D&amp;A as % sales</t>
  </si>
  <si>
    <t>Tax rate</t>
  </si>
  <si>
    <t>Interest income</t>
  </si>
  <si>
    <t>Interest expense</t>
  </si>
  <si>
    <t>Capex as % sales</t>
  </si>
  <si>
    <t>Diluted shares change %</t>
  </si>
  <si>
    <t>Diluted Shares</t>
  </si>
  <si>
    <t>Other Revenues</t>
  </si>
  <si>
    <t>Cash</t>
  </si>
  <si>
    <t>Share Price</t>
  </si>
  <si>
    <t>Marketcap (millions)</t>
  </si>
  <si>
    <t>Enterprise Value (millions)</t>
  </si>
  <si>
    <t>target_basis</t>
  </si>
  <si>
    <t>avgshare_2025A</t>
  </si>
  <si>
    <t>current_shareprice</t>
  </si>
  <si>
    <t>avgshare_2024A</t>
  </si>
  <si>
    <t>quarterly weights</t>
  </si>
  <si>
    <t>Fin Crime Mgmt Tech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</si>
</sst>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%"/>
  </numFmts>
  <fonts count="9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3366"/>
      <name val="Calibri"/>
      <family val="2"/>
    </font>
    <font>
      <b/>
      <sz val="11"/>
      <color theme="1"/>
      <name val="Calibri"/>
      <family val="2"/>
    </font>
    <font>
      <sz val="10"/>
      <color rgb="FF646464"/>
      <name val="Calibri"/>
      <family val="2"/>
    </font>
    <font>
      <i/>
      <sz val="11"/>
      <color rgb="FF646464"/>
      <name val="Calibri"/>
      <family val="2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indent="3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3"/>
    </xf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indent="6"/>
    </xf>
    <xf numFmtId="3" fontId="2" fillId="2" borderId="0" xfId="0" applyNumberFormat="1" applyFont="1" applyFill="1" applyAlignment="1">
      <alignment horizontal="right"/>
    </xf>
    <xf numFmtId="0" fontId="1" fillId="0" borderId="0" xfId="0" quotePrefix="1" applyFont="1" applyAlignment="1">
      <alignment horizontal="left" indent="7"/>
    </xf>
    <xf numFmtId="3" fontId="1" fillId="0" borderId="0" xfId="0" applyNumberFormat="1" applyFont="1" applyAlignment="1">
      <alignment horizontal="right"/>
    </xf>
    <xf numFmtId="0" fontId="1" fillId="2" borderId="0" xfId="0" quotePrefix="1" applyFont="1" applyFill="1" applyAlignment="1">
      <alignment horizontal="left" indent="7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4"/>
    </xf>
    <xf numFmtId="0" fontId="1" fillId="0" borderId="0" xfId="0" applyFont="1" applyAlignment="1">
      <alignment horizontal="left" indent="4"/>
    </xf>
    <xf numFmtId="0" fontId="2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165" fontId="1" fillId="0" borderId="0" xfId="2" applyNumberFormat="1" applyFont="1"/>
    <xf numFmtId="9" fontId="1" fillId="0" borderId="0" xfId="2" applyFont="1"/>
    <xf numFmtId="10" fontId="1" fillId="0" borderId="0" xfId="0" applyNumberFormat="1" applyFont="1"/>
    <xf numFmtId="10" fontId="1" fillId="0" borderId="0" xfId="2" applyNumberFormat="1" applyFont="1"/>
    <xf numFmtId="3" fontId="1" fillId="0" borderId="0" xfId="0" applyNumberFormat="1" applyFont="1"/>
    <xf numFmtId="4" fontId="2" fillId="0" borderId="0" xfId="0" applyNumberFormat="1" applyFont="1" applyAlignment="1">
      <alignment horizontal="right"/>
    </xf>
    <xf numFmtId="2" fontId="1" fillId="0" borderId="0" xfId="0" applyNumberFormat="1" applyFont="1"/>
    <xf numFmtId="10" fontId="1" fillId="2" borderId="0" xfId="2" applyNumberFormat="1" applyFont="1" applyFill="1" applyAlignment="1">
      <alignment horizontal="right"/>
    </xf>
    <xf numFmtId="10" fontId="1" fillId="0" borderId="0" xfId="2" applyNumberFormat="1" applyFont="1" applyAlignment="1">
      <alignment horizontal="right"/>
    </xf>
    <xf numFmtId="3" fontId="1" fillId="2" borderId="0" xfId="0" applyNumberFormat="1" applyFont="1" applyFill="1" applyAlignment="1"/>
    <xf numFmtId="3" fontId="1" fillId="0" borderId="0" xfId="0" applyNumberFormat="1" applyFont="1" applyAlignment="1"/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right"/>
    </xf>
    <xf numFmtId="9" fontId="8" fillId="0" borderId="0" xfId="0" applyNumberFormat="1" applyFont="1"/>
    <xf numFmtId="0" fontId="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1C3A-937F-429A-9478-15B48C941D8E}">
  <dimension ref="A1:F87"/>
  <sheetViews>
    <sheetView tabSelected="1" workbookViewId="0"/>
  </sheetViews>
  <sheetFormatPr defaultRowHeight="14.25"/>
  <cols>
    <col min="1" max="1" width="29.875" customWidth="1"/>
    <col min="2" max="6" width="13.25" customWidth="1"/>
  </cols>
  <sheetData>
    <row r="1" spans="1:6" ht="15">
      <c r="A1" s="7" t="s">
        <v>0</v>
      </c>
      <c r="B1" s="7"/>
      <c r="C1" s="7"/>
      <c r="D1" s="7"/>
      <c r="E1" s="7"/>
      <c r="F1" s="1"/>
    </row>
    <row r="2" spans="1:6" ht="15">
      <c r="A2" s="9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ht="15">
      <c r="A3" s="7" t="s">
        <v>6</v>
      </c>
      <c r="B3" s="7"/>
      <c r="C3" s="7"/>
      <c r="D3" s="7"/>
      <c r="E3" s="7"/>
      <c r="F3" s="7"/>
    </row>
    <row r="4" spans="1:6" ht="15">
      <c r="A4" s="4" t="s">
        <v>7</v>
      </c>
      <c r="B4" s="21">
        <v>5886</v>
      </c>
      <c r="C4" s="21">
        <v>6226</v>
      </c>
      <c r="D4" s="21">
        <v>6064</v>
      </c>
      <c r="E4" s="21">
        <v>7400</v>
      </c>
      <c r="F4" s="21">
        <v>8262</v>
      </c>
    </row>
    <row r="5" spans="1:6" ht="15">
      <c r="A5" s="2" t="s">
        <v>8</v>
      </c>
      <c r="B5" s="19">
        <v>4294</v>
      </c>
      <c r="C5" s="19">
        <v>4549</v>
      </c>
      <c r="D5" s="19">
        <v>4233</v>
      </c>
      <c r="E5" s="19">
        <v>5451</v>
      </c>
      <c r="F5" s="19">
        <v>5829</v>
      </c>
    </row>
    <row r="6" spans="1:6" ht="15">
      <c r="A6" s="4" t="s">
        <v>9</v>
      </c>
      <c r="B6" s="21">
        <v>1592</v>
      </c>
      <c r="C6" s="21">
        <v>1677</v>
      </c>
      <c r="D6" s="21">
        <v>1831</v>
      </c>
      <c r="E6" s="21">
        <v>1949</v>
      </c>
      <c r="F6" s="21">
        <v>2433</v>
      </c>
    </row>
    <row r="7" spans="1:6" ht="15">
      <c r="A7" s="2" t="s">
        <v>10</v>
      </c>
      <c r="B7" s="19">
        <v>1187</v>
      </c>
      <c r="C7" s="19">
        <v>1125</v>
      </c>
      <c r="D7" s="19">
        <v>1059</v>
      </c>
      <c r="E7" s="19">
        <v>1117</v>
      </c>
      <c r="F7" s="19">
        <v>1788</v>
      </c>
    </row>
    <row r="8" spans="1:6" ht="15">
      <c r="A8" s="24" t="s">
        <v>11</v>
      </c>
      <c r="B8" s="24"/>
      <c r="C8" s="24"/>
      <c r="D8" s="24"/>
      <c r="E8" s="24"/>
      <c r="F8" s="24"/>
    </row>
    <row r="9" spans="1:6" ht="15">
      <c r="A9" s="2" t="s">
        <v>12</v>
      </c>
      <c r="B9" s="19">
        <v>422</v>
      </c>
      <c r="C9" s="19">
        <v>524</v>
      </c>
      <c r="D9" s="19">
        <v>473</v>
      </c>
      <c r="E9" s="19">
        <v>623</v>
      </c>
      <c r="F9" s="19">
        <v>814</v>
      </c>
    </row>
    <row r="10" spans="1:6" ht="15">
      <c r="A10" s="4" t="s">
        <v>13</v>
      </c>
      <c r="B10" s="21">
        <v>20115</v>
      </c>
      <c r="C10" s="21">
        <v>20868</v>
      </c>
      <c r="D10" s="21">
        <v>32294</v>
      </c>
      <c r="E10" s="21">
        <v>30395</v>
      </c>
      <c r="F10" s="21">
        <v>31053</v>
      </c>
    </row>
    <row r="11" spans="1:6" ht="15">
      <c r="A11" s="2" t="s">
        <v>14</v>
      </c>
      <c r="B11" s="19">
        <v>6253</v>
      </c>
      <c r="C11" s="19">
        <v>5905</v>
      </c>
      <c r="D11" s="19">
        <v>10933</v>
      </c>
      <c r="E11" s="19">
        <v>9923</v>
      </c>
      <c r="F11" s="19">
        <v>9526</v>
      </c>
    </row>
    <row r="12" spans="1:6" ht="15">
      <c r="A12" s="4" t="s">
        <v>15</v>
      </c>
      <c r="B12" s="21">
        <v>5831</v>
      </c>
      <c r="C12" s="21">
        <v>5381</v>
      </c>
      <c r="D12" s="21">
        <v>10460</v>
      </c>
      <c r="E12" s="21">
        <v>9300</v>
      </c>
      <c r="F12" s="21">
        <v>8712</v>
      </c>
    </row>
    <row r="13" spans="1:6" ht="15">
      <c r="A13" s="2" t="s">
        <v>16</v>
      </c>
      <c r="B13" s="19">
        <v>13710</v>
      </c>
      <c r="C13" s="19">
        <v>14704</v>
      </c>
      <c r="D13" s="19">
        <v>21467</v>
      </c>
      <c r="E13" s="19">
        <v>19195</v>
      </c>
      <c r="F13" s="19">
        <v>18821</v>
      </c>
    </row>
    <row r="14" spans="1:6" ht="15">
      <c r="A14" s="4" t="s">
        <v>17</v>
      </c>
      <c r="B14" s="21">
        <f>B10-B13</f>
        <v>6405</v>
      </c>
      <c r="C14" s="21">
        <f t="shared" ref="C14:F14" si="0">C10-C13</f>
        <v>6164</v>
      </c>
      <c r="D14" s="21">
        <f t="shared" si="0"/>
        <v>10827</v>
      </c>
      <c r="E14" s="21">
        <f t="shared" si="0"/>
        <v>11200</v>
      </c>
      <c r="F14" s="21">
        <f t="shared" si="0"/>
        <v>12232</v>
      </c>
    </row>
    <row r="15" spans="1:6" ht="15">
      <c r="A15" s="7" t="s">
        <v>18</v>
      </c>
      <c r="B15" s="7"/>
      <c r="C15" s="7"/>
      <c r="D15" s="7"/>
      <c r="E15" s="7"/>
      <c r="F15" s="7"/>
    </row>
    <row r="16" spans="1:6" ht="15">
      <c r="A16" s="4" t="s">
        <v>19</v>
      </c>
      <c r="B16" s="21">
        <v>1083</v>
      </c>
      <c r="C16" s="21">
        <v>1706</v>
      </c>
      <c r="D16" s="21">
        <v>1696</v>
      </c>
      <c r="E16" s="21">
        <v>1939</v>
      </c>
      <c r="F16" s="21">
        <v>2255</v>
      </c>
    </row>
    <row r="17" spans="1:6" ht="15">
      <c r="A17" s="2" t="s">
        <v>20</v>
      </c>
      <c r="B17" s="19">
        <v>-163</v>
      </c>
      <c r="C17" s="19">
        <v>-152</v>
      </c>
      <c r="D17" s="19">
        <v>-158</v>
      </c>
      <c r="E17" s="19">
        <v>-207</v>
      </c>
      <c r="F17" s="19">
        <v>-266</v>
      </c>
    </row>
    <row r="18" spans="1:6" ht="15">
      <c r="A18" s="4" t="s">
        <v>21</v>
      </c>
      <c r="B18" s="21">
        <v>-2653</v>
      </c>
      <c r="C18" s="21">
        <v>49</v>
      </c>
      <c r="D18" s="21">
        <v>-5994</v>
      </c>
      <c r="E18" s="21">
        <v>-953</v>
      </c>
      <c r="F18" s="21">
        <v>-1100</v>
      </c>
    </row>
    <row r="19" spans="1:6" ht="15">
      <c r="A19" s="2" t="s">
        <v>22</v>
      </c>
      <c r="B19" s="19">
        <v>1418</v>
      </c>
      <c r="C19" s="19">
        <v>1036</v>
      </c>
      <c r="D19" s="19">
        <v>4220</v>
      </c>
      <c r="E19" s="19">
        <v>-2561</v>
      </c>
      <c r="F19" s="19">
        <v>-2953</v>
      </c>
    </row>
    <row r="20" spans="1:6" ht="15">
      <c r="A20" s="4" t="s">
        <v>23</v>
      </c>
      <c r="B20" s="21">
        <v>920</v>
      </c>
      <c r="C20" s="21">
        <v>1554</v>
      </c>
      <c r="D20" s="21">
        <v>1538</v>
      </c>
      <c r="E20" s="21">
        <v>1732</v>
      </c>
      <c r="F20" s="21">
        <v>1989</v>
      </c>
    </row>
    <row r="21" spans="1:6" ht="15">
      <c r="A21" s="7" t="s">
        <v>24</v>
      </c>
      <c r="B21" s="7"/>
      <c r="C21" s="7"/>
      <c r="D21" s="7"/>
      <c r="E21" s="7"/>
      <c r="F21" s="7"/>
    </row>
    <row r="22" spans="1:6" ht="15">
      <c r="A22" s="4" t="s">
        <v>25</v>
      </c>
      <c r="B22" s="21">
        <v>66</v>
      </c>
      <c r="C22" s="21">
        <v>83.74</v>
      </c>
      <c r="D22" s="21">
        <v>96.38</v>
      </c>
      <c r="E22" s="21">
        <v>111.39</v>
      </c>
      <c r="F22" s="21">
        <v>130.35</v>
      </c>
    </row>
    <row r="23" spans="1:6" ht="15">
      <c r="A23" s="2" t="s">
        <v>26</v>
      </c>
      <c r="B23" s="19">
        <v>529</v>
      </c>
      <c r="C23" s="19">
        <v>614</v>
      </c>
      <c r="D23" s="19">
        <v>575</v>
      </c>
      <c r="E23" s="19">
        <v>528</v>
      </c>
      <c r="F23" s="19">
        <v>624</v>
      </c>
    </row>
    <row r="24" spans="1:6" ht="15">
      <c r="A24" s="4" t="s">
        <v>27</v>
      </c>
      <c r="B24" s="21">
        <v>5198</v>
      </c>
      <c r="C24" s="21">
        <v>5187</v>
      </c>
      <c r="D24" s="21">
        <v>10580</v>
      </c>
      <c r="E24" s="21">
        <v>9469</v>
      </c>
      <c r="F24" s="21">
        <v>9035</v>
      </c>
    </row>
    <row r="25" spans="1:6" ht="15">
      <c r="A25" s="6" t="s">
        <v>28</v>
      </c>
      <c r="B25" s="6"/>
      <c r="C25" s="6"/>
      <c r="D25" s="6"/>
      <c r="E25" s="6"/>
      <c r="F25" s="6"/>
    </row>
    <row r="26" spans="1:6" ht="15">
      <c r="A26" s="7" t="s">
        <v>29</v>
      </c>
      <c r="B26" s="7"/>
      <c r="C26" s="7"/>
      <c r="D26" s="7"/>
      <c r="E26" s="7"/>
      <c r="F26" s="7"/>
    </row>
    <row r="27" spans="1:6" ht="15">
      <c r="A27" s="4" t="s">
        <v>30</v>
      </c>
      <c r="B27" s="25">
        <v>53.380904000000001</v>
      </c>
      <c r="C27" s="25">
        <v>53.389014000000003</v>
      </c>
      <c r="D27" s="25">
        <v>58.905012999999997</v>
      </c>
      <c r="E27" s="25">
        <v>54.540540999999997</v>
      </c>
      <c r="F27" s="25">
        <v>55.882353000000002</v>
      </c>
    </row>
    <row r="28" spans="1:6" ht="15">
      <c r="A28" s="2" t="s">
        <v>31</v>
      </c>
      <c r="B28" s="11">
        <v>8.5457020000000004</v>
      </c>
      <c r="C28" s="11">
        <v>8.6733049999999992</v>
      </c>
      <c r="D28" s="11">
        <v>11.329155999999999</v>
      </c>
      <c r="E28" s="11">
        <v>10.351350999999999</v>
      </c>
      <c r="F28" s="11">
        <v>9.6102640000000008</v>
      </c>
    </row>
    <row r="29" spans="1:6" ht="15">
      <c r="A29" s="4" t="s">
        <v>32</v>
      </c>
      <c r="B29" s="25">
        <v>27.047231</v>
      </c>
      <c r="C29" s="25">
        <v>26.935431999999999</v>
      </c>
      <c r="D29" s="25">
        <v>30.194590999999999</v>
      </c>
      <c r="E29" s="25">
        <v>26.337838000000001</v>
      </c>
      <c r="F29" s="25">
        <v>29.448076</v>
      </c>
    </row>
    <row r="30" spans="1:6" ht="15">
      <c r="A30" s="2" t="s">
        <v>33</v>
      </c>
      <c r="B30" s="11">
        <v>26.061841999999999</v>
      </c>
      <c r="C30" s="11">
        <v>23.690973</v>
      </c>
      <c r="D30" s="11">
        <v>23.103562</v>
      </c>
      <c r="E30" s="11">
        <v>19.581081000000001</v>
      </c>
      <c r="F30" s="11">
        <v>25.962236999999998</v>
      </c>
    </row>
    <row r="31" spans="1:6" ht="15">
      <c r="A31" s="4" t="s">
        <v>34</v>
      </c>
      <c r="B31" s="25">
        <v>20.166497</v>
      </c>
      <c r="C31" s="25">
        <v>18.069386000000002</v>
      </c>
      <c r="D31" s="25">
        <v>17.463719999999999</v>
      </c>
      <c r="E31" s="25">
        <v>15.094595</v>
      </c>
      <c r="F31" s="25">
        <v>21.641248999999998</v>
      </c>
    </row>
    <row r="32" spans="1:6" ht="15">
      <c r="A32" s="2" t="s">
        <v>35</v>
      </c>
      <c r="B32" s="11">
        <v>15.630309</v>
      </c>
      <c r="C32" s="11">
        <v>24.959845999999999</v>
      </c>
      <c r="D32" s="11">
        <v>25.362797</v>
      </c>
      <c r="E32" s="11">
        <v>23.405404999999998</v>
      </c>
      <c r="F32" s="11">
        <v>24.074074</v>
      </c>
    </row>
    <row r="33" spans="1:6" ht="15">
      <c r="A33" s="4" t="s">
        <v>36</v>
      </c>
      <c r="B33" s="25">
        <v>2.7692830000000002</v>
      </c>
      <c r="C33" s="25">
        <v>2.4413749999999999</v>
      </c>
      <c r="D33" s="25">
        <v>2.6055410000000001</v>
      </c>
      <c r="E33" s="25">
        <v>2.7972969999999999</v>
      </c>
      <c r="F33" s="25">
        <v>3.2195589999999998</v>
      </c>
    </row>
    <row r="34" spans="1:6" ht="15">
      <c r="A34" s="2" t="s">
        <v>37</v>
      </c>
      <c r="B34" s="11">
        <v>6.2319529999999999</v>
      </c>
      <c r="C34" s="11">
        <v>5.490081</v>
      </c>
      <c r="D34" s="11">
        <v>3.9840490000000002</v>
      </c>
      <c r="E34" s="11">
        <v>3.5636239999999999</v>
      </c>
      <c r="F34" s="11">
        <v>5.8195550000000003</v>
      </c>
    </row>
    <row r="35" spans="1:6" ht="15">
      <c r="A35" s="4" t="s">
        <v>38</v>
      </c>
      <c r="B35" s="25">
        <v>18.506392000000002</v>
      </c>
      <c r="C35" s="25">
        <v>17.934003000000001</v>
      </c>
      <c r="D35" s="25">
        <v>12.483055</v>
      </c>
      <c r="E35" s="25">
        <v>10.151315</v>
      </c>
      <c r="F35" s="25">
        <v>15.270305</v>
      </c>
    </row>
    <row r="36" spans="1:6" ht="15">
      <c r="A36" s="2" t="s">
        <v>39</v>
      </c>
      <c r="B36" s="11">
        <v>18.506392000000002</v>
      </c>
      <c r="C36" s="11">
        <v>17.934003000000001</v>
      </c>
      <c r="D36" s="11">
        <v>12.483055</v>
      </c>
      <c r="E36" s="11">
        <v>10.151315</v>
      </c>
      <c r="F36" s="11">
        <v>15.270305</v>
      </c>
    </row>
    <row r="37" spans="1:6" ht="15">
      <c r="A37" s="4" t="s">
        <v>40</v>
      </c>
      <c r="B37" s="25">
        <v>12.700438999999999</v>
      </c>
      <c r="C37" s="25">
        <v>13.564120000000001</v>
      </c>
      <c r="D37" s="25">
        <v>10.825032</v>
      </c>
      <c r="E37" s="25">
        <v>9.0898489999999992</v>
      </c>
      <c r="F37" s="25">
        <v>11.347683</v>
      </c>
    </row>
    <row r="38" spans="1:6" ht="15">
      <c r="A38" s="2" t="s">
        <v>41</v>
      </c>
      <c r="B38" s="11">
        <v>9.9098349999999993</v>
      </c>
      <c r="C38" s="11">
        <v>9.8120449999999995</v>
      </c>
      <c r="D38" s="11">
        <v>6.4703369999999998</v>
      </c>
      <c r="E38" s="11">
        <v>5.3119649999999998</v>
      </c>
      <c r="F38" s="11">
        <v>8.5301270000000002</v>
      </c>
    </row>
    <row r="39" spans="1:6" ht="15">
      <c r="A39" s="4" t="s">
        <v>42</v>
      </c>
      <c r="B39" s="25">
        <v>9.0415759999999992</v>
      </c>
      <c r="C39" s="25">
        <v>14.879421000000001</v>
      </c>
      <c r="D39" s="25">
        <v>10.362314</v>
      </c>
      <c r="E39" s="25">
        <v>9.2210389999999993</v>
      </c>
      <c r="F39" s="25">
        <v>10.758075</v>
      </c>
    </row>
    <row r="40" spans="1:6" ht="15">
      <c r="A40" s="4" t="s">
        <v>43</v>
      </c>
      <c r="B40" s="25">
        <v>8.3582719999999995</v>
      </c>
      <c r="C40" s="25">
        <v>8.1838809999999995</v>
      </c>
      <c r="D40" s="25">
        <v>6.8883789999999996</v>
      </c>
      <c r="E40" s="25">
        <v>6.2179970000000004</v>
      </c>
      <c r="F40" s="25">
        <v>7.9188910000000003</v>
      </c>
    </row>
    <row r="41" spans="1:6" ht="15">
      <c r="A41" s="2" t="s">
        <v>44</v>
      </c>
      <c r="B41" s="11">
        <v>0.62142699999999995</v>
      </c>
      <c r="C41" s="11">
        <v>0.61817100000000003</v>
      </c>
      <c r="D41" s="11">
        <v>0.87941999999999998</v>
      </c>
      <c r="E41" s="11">
        <v>1.362066</v>
      </c>
      <c r="F41" s="11">
        <v>1.1818500000000001</v>
      </c>
    </row>
    <row r="42" spans="1:6" ht="15">
      <c r="A42" s="6" t="s">
        <v>45</v>
      </c>
      <c r="B42" s="6"/>
      <c r="C42" s="6"/>
      <c r="D42" s="6"/>
      <c r="E42" s="6"/>
      <c r="F42" s="6"/>
    </row>
    <row r="43" spans="1:6" ht="15">
      <c r="A43" s="7" t="s">
        <v>46</v>
      </c>
      <c r="B43" s="7"/>
      <c r="C43" s="7"/>
      <c r="D43" s="7"/>
      <c r="E43" s="7"/>
      <c r="F43" s="7"/>
    </row>
    <row r="44" spans="1:6" ht="15">
      <c r="A44" s="4" t="s">
        <v>47</v>
      </c>
      <c r="B44" s="25">
        <v>12.736000000000001</v>
      </c>
      <c r="C44" s="25">
        <v>13</v>
      </c>
      <c r="D44" s="25">
        <v>6.4471829999999999</v>
      </c>
      <c r="E44" s="25">
        <v>4.7077289999999996</v>
      </c>
      <c r="F44" s="25">
        <v>6.6294279999999999</v>
      </c>
    </row>
    <row r="45" spans="1:6" ht="15">
      <c r="A45" s="2" t="s">
        <v>48</v>
      </c>
      <c r="B45" s="11">
        <v>12.736000000000001</v>
      </c>
      <c r="C45" s="11">
        <v>13</v>
      </c>
      <c r="D45" s="11">
        <v>6.4471829999999999</v>
      </c>
      <c r="E45" s="11">
        <v>4.7077289999999996</v>
      </c>
      <c r="F45" s="11">
        <v>6.6294279999999999</v>
      </c>
    </row>
    <row r="46" spans="1:6" ht="15">
      <c r="A46" s="4" t="s">
        <v>49</v>
      </c>
      <c r="B46" s="25">
        <v>8.6639999999999997</v>
      </c>
      <c r="C46" s="25">
        <v>13.224805999999999</v>
      </c>
      <c r="D46" s="25">
        <v>5.9718309999999999</v>
      </c>
      <c r="E46" s="25">
        <v>4.6835750000000003</v>
      </c>
      <c r="F46" s="25">
        <v>6.1444140000000003</v>
      </c>
    </row>
    <row r="47" spans="1:6" ht="15">
      <c r="A47" s="2" t="s">
        <v>50</v>
      </c>
      <c r="B47" s="11">
        <v>4.4342860000000002</v>
      </c>
      <c r="C47" s="11">
        <v>4.0156660000000004</v>
      </c>
      <c r="D47" s="11">
        <v>3.7573699999999999</v>
      </c>
      <c r="E47" s="11">
        <v>3.4990760000000001</v>
      </c>
      <c r="F47" s="11">
        <v>4.1430949999999998</v>
      </c>
    </row>
    <row r="48" spans="1:6" ht="15">
      <c r="A48" s="4" t="s">
        <v>51</v>
      </c>
      <c r="B48" s="25">
        <v>3.757088</v>
      </c>
      <c r="C48" s="25">
        <v>3.4986999999999999</v>
      </c>
      <c r="D48" s="25">
        <v>6.3126129999999998</v>
      </c>
      <c r="E48" s="25">
        <v>4.9128369999999997</v>
      </c>
      <c r="F48" s="25">
        <v>3.4987949999999999</v>
      </c>
    </row>
    <row r="49" spans="1:6" ht="15">
      <c r="A49" s="2" t="s">
        <v>52</v>
      </c>
      <c r="B49" s="11">
        <v>3.349227</v>
      </c>
      <c r="C49" s="11">
        <v>3.3725619999999998</v>
      </c>
      <c r="D49" s="11">
        <v>6.385033</v>
      </c>
      <c r="E49" s="11">
        <v>5.0021129999999996</v>
      </c>
      <c r="F49" s="11">
        <v>3.628514</v>
      </c>
    </row>
    <row r="50" spans="1:6" ht="15">
      <c r="A50" s="4" t="s">
        <v>53</v>
      </c>
      <c r="B50" s="25">
        <v>0.14712900000000001</v>
      </c>
      <c r="C50" s="25">
        <v>0.26316699999999998</v>
      </c>
      <c r="D50" s="25">
        <v>0.14067499999999999</v>
      </c>
      <c r="E50" s="25">
        <v>0.174544</v>
      </c>
      <c r="F50" s="25">
        <v>0.20879700000000001</v>
      </c>
    </row>
    <row r="51" spans="1:6" ht="15">
      <c r="A51" s="2" t="s">
        <v>54</v>
      </c>
      <c r="B51" s="11">
        <v>0.17319699999999999</v>
      </c>
      <c r="C51" s="11">
        <v>0.288908</v>
      </c>
      <c r="D51" s="11">
        <v>0.15512699999999999</v>
      </c>
      <c r="E51" s="11">
        <v>0.195405</v>
      </c>
      <c r="F51" s="11">
        <v>0.23672099999999999</v>
      </c>
    </row>
    <row r="52" spans="1:6" ht="15">
      <c r="A52" s="4" t="s">
        <v>55</v>
      </c>
      <c r="B52" s="25">
        <v>3.1176469999999998</v>
      </c>
      <c r="C52" s="25">
        <v>2.790181</v>
      </c>
      <c r="D52" s="25">
        <v>4.8532960000000003</v>
      </c>
      <c r="E52" s="25">
        <v>3.700234</v>
      </c>
      <c r="F52" s="25">
        <v>2.937684</v>
      </c>
    </row>
    <row r="53" spans="1:6" ht="15">
      <c r="A53" s="2" t="s">
        <v>56</v>
      </c>
      <c r="B53" s="11">
        <v>3.6620599999999999</v>
      </c>
      <c r="C53" s="11">
        <v>3.2194389999999999</v>
      </c>
      <c r="D53" s="11">
        <v>5.7094480000000001</v>
      </c>
      <c r="E53" s="11">
        <v>4.8640330000000001</v>
      </c>
      <c r="F53" s="11">
        <v>3.7007810000000001</v>
      </c>
    </row>
    <row r="54" spans="1:6" ht="15">
      <c r="A54" s="4" t="s">
        <v>57</v>
      </c>
      <c r="B54" s="25">
        <v>13.656000000000001</v>
      </c>
      <c r="C54" s="25">
        <v>13.821705</v>
      </c>
      <c r="D54" s="25">
        <v>7.0281690000000001</v>
      </c>
      <c r="E54" s="25">
        <v>5.6884059999999996</v>
      </c>
      <c r="F54" s="25">
        <v>7.626703</v>
      </c>
    </row>
    <row r="55" spans="1:6" ht="15">
      <c r="A55" s="7" t="s">
        <v>58</v>
      </c>
      <c r="B55" s="7"/>
      <c r="C55" s="7"/>
      <c r="D55" s="7"/>
      <c r="E55" s="7"/>
      <c r="F55" s="7"/>
    </row>
    <row r="56" spans="1:6" ht="15">
      <c r="A56" s="4" t="s">
        <v>59</v>
      </c>
      <c r="B56" s="25">
        <v>81.282252</v>
      </c>
      <c r="C56" s="25">
        <v>84.327752000000004</v>
      </c>
      <c r="D56" s="25">
        <v>97.818047000000007</v>
      </c>
      <c r="E56" s="25">
        <v>84.612634999999997</v>
      </c>
      <c r="F56" s="25">
        <v>73.893840999999995</v>
      </c>
    </row>
    <row r="57" spans="1:6" ht="15">
      <c r="A57" s="2" t="s">
        <v>60</v>
      </c>
      <c r="B57" s="11">
        <v>41.097406999999997</v>
      </c>
      <c r="C57" s="11">
        <v>43.02422</v>
      </c>
      <c r="D57" s="11">
        <v>48.645915000000002</v>
      </c>
      <c r="E57" s="11">
        <v>44.847020999999998</v>
      </c>
      <c r="F57" s="11">
        <v>41.534500999999999</v>
      </c>
    </row>
    <row r="58" spans="1:6" ht="15">
      <c r="A58" s="4" t="s">
        <v>61</v>
      </c>
      <c r="B58" s="25">
        <v>25.841411999999998</v>
      </c>
      <c r="C58" s="25">
        <v>24.856238999999999</v>
      </c>
      <c r="D58" s="25">
        <v>32.761504000000002</v>
      </c>
      <c r="E58" s="25">
        <v>31.15315</v>
      </c>
      <c r="F58" s="25">
        <v>29.095417999999999</v>
      </c>
    </row>
    <row r="59" spans="1:6" ht="15">
      <c r="A59" s="2" t="s">
        <v>62</v>
      </c>
      <c r="B59" s="11">
        <v>31.086254</v>
      </c>
      <c r="C59" s="11">
        <v>28.296914000000001</v>
      </c>
      <c r="D59" s="11">
        <v>33.854585999999998</v>
      </c>
      <c r="E59" s="11">
        <v>32.646816999999999</v>
      </c>
      <c r="F59" s="11">
        <v>30.676584999999999</v>
      </c>
    </row>
    <row r="60" spans="1:6" ht="15">
      <c r="A60" s="4" t="s">
        <v>63</v>
      </c>
      <c r="B60" s="25">
        <v>91.180610000000001</v>
      </c>
      <c r="C60" s="25">
        <v>87.481710000000007</v>
      </c>
      <c r="D60" s="25">
        <v>96.708579999999998</v>
      </c>
      <c r="E60" s="25">
        <v>83.102492999999996</v>
      </c>
      <c r="F60" s="25">
        <v>71.252146999999994</v>
      </c>
    </row>
    <row r="61" spans="1:6" ht="15">
      <c r="A61" s="2" t="s">
        <v>64</v>
      </c>
      <c r="B61" s="11">
        <v>97.779515000000004</v>
      </c>
      <c r="C61" s="11">
        <v>96.000649999999993</v>
      </c>
      <c r="D61" s="11">
        <v>101.081731</v>
      </c>
      <c r="E61" s="11">
        <v>88.669466999999997</v>
      </c>
      <c r="F61" s="11">
        <v>77.909543999999997</v>
      </c>
    </row>
    <row r="62" spans="1:6" ht="15">
      <c r="A62" s="4" t="s">
        <v>65</v>
      </c>
      <c r="B62" s="25">
        <v>46.102150999999999</v>
      </c>
      <c r="C62" s="25">
        <v>44.633378</v>
      </c>
      <c r="D62" s="25">
        <v>48.094164999999997</v>
      </c>
      <c r="E62" s="25">
        <v>44.046604000000002</v>
      </c>
      <c r="F62" s="25">
        <v>40.049647999999998</v>
      </c>
    </row>
    <row r="63" spans="1:6" ht="15">
      <c r="A63" s="2" t="s">
        <v>66</v>
      </c>
      <c r="B63" s="11">
        <v>49.438645999999999</v>
      </c>
      <c r="C63" s="11">
        <v>48.979761000000003</v>
      </c>
      <c r="D63" s="11">
        <v>50.268977999999997</v>
      </c>
      <c r="E63" s="11">
        <v>46.997253000000001</v>
      </c>
      <c r="F63" s="11">
        <v>43.791660999999998</v>
      </c>
    </row>
    <row r="64" spans="1:6" ht="15">
      <c r="A64" s="6" t="s">
        <v>67</v>
      </c>
      <c r="B64" s="6"/>
      <c r="C64" s="6"/>
      <c r="D64" s="6"/>
      <c r="E64" s="6"/>
      <c r="F64" s="6"/>
    </row>
    <row r="65" spans="1:6" ht="15">
      <c r="A65" s="7" t="s">
        <v>68</v>
      </c>
      <c r="B65" s="7"/>
      <c r="C65" s="7"/>
      <c r="D65" s="7"/>
      <c r="E65" s="7"/>
      <c r="F65" s="7"/>
    </row>
    <row r="66" spans="1:6" ht="15">
      <c r="A66" s="4" t="s">
        <v>69</v>
      </c>
      <c r="B66" s="25">
        <v>11.653413</v>
      </c>
      <c r="C66" s="25">
        <v>12.505585</v>
      </c>
      <c r="D66" s="25">
        <v>11.927781</v>
      </c>
      <c r="E66" s="25">
        <v>12.776474</v>
      </c>
      <c r="F66" s="25">
        <v>14.279351999999999</v>
      </c>
    </row>
    <row r="67" spans="1:6" ht="15">
      <c r="A67" s="2" t="s">
        <v>70</v>
      </c>
      <c r="B67" s="11">
        <v>2.5593560000000002</v>
      </c>
      <c r="C67" s="11">
        <v>2.4185629999999998</v>
      </c>
      <c r="D67" s="11">
        <v>2.431387</v>
      </c>
      <c r="E67" s="11">
        <v>2.1110530000000001</v>
      </c>
      <c r="F67" s="11">
        <v>3.213632</v>
      </c>
    </row>
    <row r="68" spans="1:6" ht="15">
      <c r="A68" s="4" t="s">
        <v>71</v>
      </c>
      <c r="B68" s="25">
        <v>2.3500999999999999</v>
      </c>
      <c r="C68" s="25">
        <v>2.2597</v>
      </c>
      <c r="D68" s="25">
        <v>2.0830000000000002</v>
      </c>
      <c r="E68" s="25">
        <v>1.9286000000000001</v>
      </c>
      <c r="F68" s="25">
        <v>3.0901999999999998</v>
      </c>
    </row>
    <row r="69" spans="1:6" ht="15">
      <c r="A69" s="2" t="s">
        <v>72</v>
      </c>
      <c r="B69" s="11">
        <v>2.3849999999999998</v>
      </c>
      <c r="C69" s="11">
        <v>2.2846000000000002</v>
      </c>
      <c r="D69" s="11">
        <v>2.0973999999999999</v>
      </c>
      <c r="E69" s="11">
        <v>1.9412</v>
      </c>
      <c r="F69" s="11">
        <v>3.1190000000000002</v>
      </c>
    </row>
    <row r="70" spans="1:6" ht="15">
      <c r="A70" s="4" t="s">
        <v>73</v>
      </c>
      <c r="B70" s="25">
        <v>0.70333000000000001</v>
      </c>
      <c r="C70" s="25">
        <v>0.78</v>
      </c>
      <c r="D70" s="25">
        <v>0.86</v>
      </c>
      <c r="E70" s="25">
        <v>0.94</v>
      </c>
      <c r="F70" s="25">
        <v>1.05</v>
      </c>
    </row>
    <row r="71" spans="1:6" ht="15">
      <c r="A71" s="2" t="s">
        <v>74</v>
      </c>
      <c r="B71" s="11">
        <v>0.84393300000000004</v>
      </c>
      <c r="C71" s="11">
        <v>1.0659240000000001</v>
      </c>
      <c r="D71" s="11">
        <v>0.82238100000000003</v>
      </c>
      <c r="E71" s="11">
        <v>1.083361</v>
      </c>
      <c r="F71" s="11">
        <v>1.4283360000000001</v>
      </c>
    </row>
    <row r="72" spans="1:6" ht="15">
      <c r="A72" s="4" t="s">
        <v>75</v>
      </c>
      <c r="B72" s="25">
        <v>12.78899</v>
      </c>
      <c r="C72" s="25">
        <v>12.5124</v>
      </c>
      <c r="D72" s="25">
        <v>18.805219999999998</v>
      </c>
      <c r="E72" s="25">
        <v>19.4605</v>
      </c>
      <c r="F72" s="25">
        <v>21.45487</v>
      </c>
    </row>
    <row r="73" spans="1:6" ht="15">
      <c r="A73" s="2" t="s">
        <v>76</v>
      </c>
      <c r="B73" s="11">
        <v>-9.7012350000000005</v>
      </c>
      <c r="C73" s="11">
        <v>-9.2129150000000006</v>
      </c>
      <c r="D73" s="11">
        <v>-18.671347999999998</v>
      </c>
      <c r="E73" s="11">
        <v>-16.817311</v>
      </c>
      <c r="F73" s="11">
        <v>-15.187034000000001</v>
      </c>
    </row>
    <row r="74" spans="1:6" ht="15">
      <c r="A74" s="4" t="s">
        <v>77</v>
      </c>
      <c r="B74" s="25">
        <v>2.14418</v>
      </c>
      <c r="C74" s="25">
        <v>3.4266830000000001</v>
      </c>
      <c r="D74" s="25">
        <v>3.3360020000000001</v>
      </c>
      <c r="E74" s="25">
        <v>3.347782</v>
      </c>
      <c r="F74" s="25">
        <v>3.897354</v>
      </c>
    </row>
    <row r="75" spans="1:6" ht="15">
      <c r="A75" s="2" t="s">
        <v>78</v>
      </c>
      <c r="B75" s="11">
        <v>1.821464</v>
      </c>
      <c r="C75" s="11">
        <v>3.121375</v>
      </c>
      <c r="D75" s="11">
        <v>3.0252189999999999</v>
      </c>
      <c r="E75" s="11">
        <v>2.990386</v>
      </c>
      <c r="F75" s="11">
        <v>3.4376220000000002</v>
      </c>
    </row>
    <row r="76" spans="1:6" ht="15">
      <c r="A76" s="24" t="s">
        <v>79</v>
      </c>
      <c r="B76" s="24"/>
      <c r="C76" s="24"/>
      <c r="D76" s="24"/>
      <c r="E76" s="24"/>
      <c r="F76" s="24"/>
    </row>
    <row r="77" spans="1:6" ht="15">
      <c r="A77" s="2" t="s">
        <v>80</v>
      </c>
      <c r="B77" s="3">
        <v>505.08808599999998</v>
      </c>
      <c r="C77" s="3">
        <v>497.85756500000002</v>
      </c>
      <c r="D77" s="3">
        <v>508.39298200000002</v>
      </c>
      <c r="E77" s="3">
        <v>579.18952200000001</v>
      </c>
      <c r="F77" s="3">
        <v>578.59768699999995</v>
      </c>
    </row>
    <row r="78" spans="1:6" ht="15">
      <c r="A78" s="4" t="s">
        <v>81</v>
      </c>
      <c r="B78" s="5">
        <v>497.69889000000001</v>
      </c>
      <c r="C78" s="5">
        <v>492.42078700000002</v>
      </c>
      <c r="D78" s="5">
        <v>504.90939200000003</v>
      </c>
      <c r="E78" s="5">
        <v>575.42853600000001</v>
      </c>
      <c r="F78" s="5">
        <v>573.25775999999996</v>
      </c>
    </row>
    <row r="79" spans="1:6" ht="15">
      <c r="A79" s="2" t="s">
        <v>82</v>
      </c>
      <c r="B79" s="3">
        <v>500.03942000000001</v>
      </c>
      <c r="C79" s="3">
        <v>491.592491</v>
      </c>
      <c r="D79" s="3">
        <v>575.15933600000005</v>
      </c>
      <c r="E79" s="3">
        <v>575.06221700000003</v>
      </c>
      <c r="F79" s="3">
        <v>569.89402399999994</v>
      </c>
    </row>
    <row r="80" spans="1:6" ht="15">
      <c r="A80" s="24" t="s">
        <v>83</v>
      </c>
      <c r="B80" s="24"/>
      <c r="C80" s="24"/>
      <c r="D80" s="24"/>
      <c r="E80" s="24"/>
      <c r="F80" s="24"/>
    </row>
    <row r="81" spans="1:6" ht="15">
      <c r="A81" s="2" t="s">
        <v>84</v>
      </c>
      <c r="B81" s="11">
        <v>29.787355999999999</v>
      </c>
      <c r="C81" s="11">
        <v>27.149622000000001</v>
      </c>
      <c r="D81" s="11">
        <v>27.911666</v>
      </c>
      <c r="E81" s="11">
        <v>40.086072999999999</v>
      </c>
      <c r="F81" s="11">
        <v>31.431622999999998</v>
      </c>
    </row>
    <row r="82" spans="1:6" ht="15">
      <c r="A82" s="4" t="s">
        <v>85</v>
      </c>
      <c r="B82" s="25">
        <v>6.007104</v>
      </c>
      <c r="C82" s="25">
        <v>4.9058080000000004</v>
      </c>
      <c r="D82" s="25">
        <v>4.8743350000000003</v>
      </c>
      <c r="E82" s="25">
        <v>6.0509649999999997</v>
      </c>
      <c r="F82" s="25">
        <v>6.8021289999999999</v>
      </c>
    </row>
    <row r="83" spans="1:6" ht="15">
      <c r="A83" s="2" t="s">
        <v>86</v>
      </c>
      <c r="B83" s="11">
        <v>5.4737130000000001</v>
      </c>
      <c r="C83" s="11">
        <v>4.9031359999999999</v>
      </c>
      <c r="D83" s="11">
        <v>3.0916950000000001</v>
      </c>
      <c r="E83" s="11">
        <v>3.9726629999999998</v>
      </c>
      <c r="F83" s="11">
        <v>4.527177</v>
      </c>
    </row>
    <row r="84" spans="1:6" ht="15">
      <c r="A84" s="4" t="s">
        <v>87</v>
      </c>
      <c r="B84" s="25">
        <v>32.648029000000001</v>
      </c>
      <c r="C84" s="25">
        <v>17.903611999999999</v>
      </c>
      <c r="D84" s="25">
        <v>17.428046999999999</v>
      </c>
      <c r="E84" s="25">
        <v>23.092904999999998</v>
      </c>
      <c r="F84" s="25">
        <v>24.922037</v>
      </c>
    </row>
    <row r="85" spans="1:6" ht="15">
      <c r="A85" s="2" t="s">
        <v>88</v>
      </c>
      <c r="B85" s="11">
        <v>38.432408000000002</v>
      </c>
      <c r="C85" s="11">
        <v>19.654802</v>
      </c>
      <c r="D85" s="11">
        <v>19.218444999999999</v>
      </c>
      <c r="E85" s="11">
        <v>25.852853</v>
      </c>
      <c r="F85" s="11">
        <v>28.254999000000002</v>
      </c>
    </row>
    <row r="86" spans="1:6" ht="15">
      <c r="A86" s="4" t="s">
        <v>89</v>
      </c>
      <c r="B86" s="25">
        <v>1.00471</v>
      </c>
      <c r="C86" s="25">
        <v>1.271393</v>
      </c>
      <c r="D86" s="25">
        <v>1.4791879999999999</v>
      </c>
      <c r="E86" s="25">
        <v>1.215884</v>
      </c>
      <c r="F86" s="25">
        <v>1.0810249999999999</v>
      </c>
    </row>
    <row r="87" spans="1:6" ht="15">
      <c r="A87" s="26" t="s">
        <v>90</v>
      </c>
      <c r="B87" s="1"/>
      <c r="C87" s="1"/>
      <c r="D87" s="1"/>
      <c r="E87" s="1"/>
      <c r="F8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8CED-F8C4-4B75-AF78-CC69468FB51A}">
  <dimension ref="A1:N78"/>
  <sheetViews>
    <sheetView workbookViewId="0"/>
  </sheetViews>
  <sheetFormatPr defaultRowHeight="14.25"/>
  <cols>
    <col min="1" max="1" width="31.25" customWidth="1"/>
    <col min="8" max="8" width="18.5" customWidth="1"/>
    <col min="13" max="14" width="16.625" customWidth="1"/>
  </cols>
  <sheetData>
    <row r="1" spans="1:14" ht="1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>
      <c r="A3" s="8"/>
      <c r="B3" s="8" t="s">
        <v>92</v>
      </c>
      <c r="C3" s="8" t="s">
        <v>93</v>
      </c>
      <c r="D3" s="8" t="s">
        <v>94</v>
      </c>
      <c r="E3" s="8" t="s">
        <v>95</v>
      </c>
      <c r="F3" s="8" t="s">
        <v>96</v>
      </c>
      <c r="G3" s="8" t="s">
        <v>97</v>
      </c>
      <c r="H3" s="8" t="s">
        <v>97</v>
      </c>
      <c r="I3" s="8" t="s">
        <v>98</v>
      </c>
      <c r="J3" s="8" t="s">
        <v>99</v>
      </c>
      <c r="K3" s="8" t="s">
        <v>100</v>
      </c>
      <c r="L3" s="8" t="s">
        <v>101</v>
      </c>
      <c r="M3" s="8" t="s">
        <v>101</v>
      </c>
      <c r="N3" s="8" t="s">
        <v>102</v>
      </c>
    </row>
    <row r="4" spans="1:14" ht="15">
      <c r="A4" s="9"/>
      <c r="B4" s="9"/>
      <c r="C4" s="9"/>
      <c r="D4" s="9" t="s">
        <v>103</v>
      </c>
      <c r="E4" s="9" t="s">
        <v>104</v>
      </c>
      <c r="F4" s="9" t="s">
        <v>105</v>
      </c>
      <c r="G4" s="9" t="s">
        <v>106</v>
      </c>
      <c r="H4" s="9"/>
      <c r="I4" s="9" t="s">
        <v>103</v>
      </c>
      <c r="J4" s="9" t="s">
        <v>104</v>
      </c>
      <c r="K4" s="9" t="s">
        <v>105</v>
      </c>
      <c r="L4" s="9" t="s">
        <v>106</v>
      </c>
      <c r="M4" s="9"/>
      <c r="N4" s="9"/>
    </row>
    <row r="5" spans="1:14" ht="15">
      <c r="A5" s="2" t="s">
        <v>107</v>
      </c>
      <c r="B5" s="11">
        <f>B33/B34</f>
        <v>2.0765715785859813</v>
      </c>
      <c r="C5" s="11">
        <f>C33/C34</f>
        <v>3.0309065165689124</v>
      </c>
      <c r="D5" s="11">
        <f>D33/D34</f>
        <v>0.77535999349284046</v>
      </c>
      <c r="E5" s="11">
        <f>E33/E34</f>
        <v>0.81224078872579097</v>
      </c>
      <c r="F5" s="11">
        <f>F33/F34</f>
        <v>0.81224078872579097</v>
      </c>
      <c r="G5" s="11">
        <f>G33/G34</f>
        <v>0.84912158395874149</v>
      </c>
      <c r="H5" s="11">
        <f>H33/H34</f>
        <v>3.2489631549031639</v>
      </c>
      <c r="I5" s="11">
        <f>I33/I34</f>
        <v>0.84036383499790346</v>
      </c>
      <c r="J5" s="11">
        <f>J33/J34</f>
        <v>0.87963990014341442</v>
      </c>
      <c r="K5" s="11">
        <f>K33/K34</f>
        <v>0.87963990014341442</v>
      </c>
      <c r="L5" s="11">
        <f>L33/L34</f>
        <v>0.91891596528892494</v>
      </c>
      <c r="M5" s="11">
        <f>M33/M34</f>
        <v>3.5185596005736577</v>
      </c>
      <c r="N5" s="11">
        <f>N33/N34</f>
        <v>3.825382995491907</v>
      </c>
    </row>
    <row r="6" spans="1:14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>
      <c r="A7" s="1" t="s">
        <v>108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">
      <c r="A8" s="8"/>
      <c r="B8" s="8" t="s">
        <v>92</v>
      </c>
      <c r="C8" s="8" t="s">
        <v>93</v>
      </c>
      <c r="D8" s="8" t="s">
        <v>94</v>
      </c>
      <c r="E8" s="8" t="s">
        <v>95</v>
      </c>
      <c r="F8" s="8" t="s">
        <v>96</v>
      </c>
      <c r="G8" s="8" t="s">
        <v>97</v>
      </c>
      <c r="H8" s="8" t="s">
        <v>97</v>
      </c>
      <c r="I8" s="8" t="s">
        <v>98</v>
      </c>
      <c r="J8" s="8" t="s">
        <v>99</v>
      </c>
      <c r="K8" s="8" t="s">
        <v>100</v>
      </c>
      <c r="L8" s="8" t="s">
        <v>101</v>
      </c>
      <c r="M8" s="8" t="s">
        <v>101</v>
      </c>
      <c r="N8" s="8" t="s">
        <v>102</v>
      </c>
    </row>
    <row r="9" spans="1:14" ht="15">
      <c r="A9" s="9"/>
      <c r="B9" s="9"/>
      <c r="C9" s="9"/>
      <c r="D9" s="9" t="s">
        <v>103</v>
      </c>
      <c r="E9" s="9" t="s">
        <v>104</v>
      </c>
      <c r="F9" s="9" t="s">
        <v>105</v>
      </c>
      <c r="G9" s="9" t="s">
        <v>106</v>
      </c>
      <c r="H9" s="9"/>
      <c r="I9" s="9" t="s">
        <v>103</v>
      </c>
      <c r="J9" s="9" t="s">
        <v>104</v>
      </c>
      <c r="K9" s="9" t="s">
        <v>105</v>
      </c>
      <c r="L9" s="9" t="s">
        <v>106</v>
      </c>
      <c r="M9" s="9"/>
      <c r="N9" s="9"/>
    </row>
    <row r="10" spans="1:14" ht="15">
      <c r="A10" s="14" t="s">
        <v>7</v>
      </c>
      <c r="B10" s="15">
        <f>SUM(B11,B15,B19,B20)</f>
        <v>7400</v>
      </c>
      <c r="C10" s="15">
        <f>Financials!F4</f>
        <v>8262</v>
      </c>
      <c r="D10" s="15">
        <f>SUM(D11,D15,D19,D20)</f>
        <v>2084.1743999999999</v>
      </c>
      <c r="E10" s="15">
        <f>SUM(E11,E15,E19,E20)</f>
        <v>2171.0149999999999</v>
      </c>
      <c r="F10" s="15">
        <f>SUM(F11,F15,F19,F20)</f>
        <v>2171.0149999999999</v>
      </c>
      <c r="G10" s="15">
        <f>SUM(G11,G15,G19,G20)</f>
        <v>2257.8556000000003</v>
      </c>
      <c r="H10" s="15">
        <f>SUM(H11,H15,H19,H20)</f>
        <v>8684.06</v>
      </c>
      <c r="I10" s="15">
        <f>SUM(I11,I15,I19,I20)</f>
        <v>2196.8715120000002</v>
      </c>
      <c r="J10" s="15">
        <f>SUM(J11,J15,J19,J20)</f>
        <v>2288.4078250000002</v>
      </c>
      <c r="K10" s="15">
        <f>SUM(K11,K15,K19,K20)</f>
        <v>2288.4078250000002</v>
      </c>
      <c r="L10" s="15">
        <f>SUM(L11,L15,L19,L20)</f>
        <v>2379.9441380000003</v>
      </c>
      <c r="M10" s="15">
        <f>SUM(M11,M15,M19,M20)</f>
        <v>9153.6313000000009</v>
      </c>
      <c r="N10" s="15">
        <f>SUM(N11,N15,N19,N20)</f>
        <v>9620.8293269999995</v>
      </c>
    </row>
    <row r="11" spans="1:14" ht="15">
      <c r="A11" s="16" t="s">
        <v>109</v>
      </c>
      <c r="B11" s="17">
        <f>SUM(B12:B14)</f>
        <v>1945</v>
      </c>
      <c r="C11" s="17">
        <f>SUM(C12:C14)</f>
        <v>2137</v>
      </c>
      <c r="D11" s="17">
        <f>SUM(D12:D14)</f>
        <v>554.29200000000003</v>
      </c>
      <c r="E11" s="17">
        <f>SUM(E12:E14)</f>
        <v>577.38750000000005</v>
      </c>
      <c r="F11" s="17">
        <f>SUM(F12:F14)</f>
        <v>577.38750000000005</v>
      </c>
      <c r="G11" s="17">
        <f>SUM(G12:G14)</f>
        <v>600.48300000000006</v>
      </c>
      <c r="H11" s="17">
        <f>SUM(H12:H14)</f>
        <v>2309.5500000000002</v>
      </c>
      <c r="I11" s="17">
        <f>SUM(I12:I14)</f>
        <v>596.11924800000008</v>
      </c>
      <c r="J11" s="17">
        <f>SUM(J12:J14)</f>
        <v>620.95755000000008</v>
      </c>
      <c r="K11" s="17">
        <f>SUM(K12:K14)</f>
        <v>620.95755000000008</v>
      </c>
      <c r="L11" s="17">
        <f>SUM(L12:L14)</f>
        <v>645.7958520000002</v>
      </c>
      <c r="M11" s="17">
        <f>SUM(M12:M14)</f>
        <v>2483.8302000000003</v>
      </c>
      <c r="N11" s="17">
        <f>SUM(N12:N14)</f>
        <v>2654.7850470000003</v>
      </c>
    </row>
    <row r="12" spans="1:14" ht="15">
      <c r="A12" s="18" t="s">
        <v>110</v>
      </c>
      <c r="B12" s="19">
        <v>754</v>
      </c>
      <c r="C12" s="19">
        <v>804</v>
      </c>
      <c r="D12" s="19">
        <f>H12*D$77</f>
        <v>206.46720000000002</v>
      </c>
      <c r="E12" s="19">
        <f>H12*E$77</f>
        <v>215.07000000000002</v>
      </c>
      <c r="F12" s="19">
        <f>H12*F$77</f>
        <v>215.07000000000002</v>
      </c>
      <c r="G12" s="19">
        <f>H12*G$77</f>
        <v>223.67280000000002</v>
      </c>
      <c r="H12" s="19">
        <f>C12*(1+H$60)</f>
        <v>860.28000000000009</v>
      </c>
      <c r="I12" s="19">
        <f>M12*I$77</f>
        <v>219.88756800000002</v>
      </c>
      <c r="J12" s="19">
        <f>M12*J$77</f>
        <v>229.04955000000001</v>
      </c>
      <c r="K12" s="19">
        <f>M12*K$77</f>
        <v>229.04955000000001</v>
      </c>
      <c r="L12" s="19">
        <f>M12*L$77</f>
        <v>238.21153200000001</v>
      </c>
      <c r="M12" s="19">
        <f>H12*(1+M$60)</f>
        <v>916.19820000000004</v>
      </c>
      <c r="N12" s="19">
        <f>M12*(1+N$60)</f>
        <v>971.17009200000007</v>
      </c>
    </row>
    <row r="13" spans="1:14" ht="15">
      <c r="A13" s="20" t="s">
        <v>111</v>
      </c>
      <c r="B13" s="21">
        <v>706</v>
      </c>
      <c r="C13" s="21">
        <v>827</v>
      </c>
      <c r="D13" s="21">
        <f>H13*D$77</f>
        <v>220.31280000000001</v>
      </c>
      <c r="E13" s="21">
        <f>H13*E$77</f>
        <v>229.49250000000001</v>
      </c>
      <c r="F13" s="21">
        <f>H13*F$77</f>
        <v>229.49250000000001</v>
      </c>
      <c r="G13" s="21">
        <f>H13*G$77</f>
        <v>238.6722</v>
      </c>
      <c r="H13" s="21">
        <f>C13*(1+H$61)</f>
        <v>917.97</v>
      </c>
      <c r="I13" s="21">
        <f>M13*I$77</f>
        <v>242.34408000000002</v>
      </c>
      <c r="J13" s="21">
        <f>M13*J$77</f>
        <v>252.44175000000004</v>
      </c>
      <c r="K13" s="21">
        <f>M13*K$77</f>
        <v>252.44175000000004</v>
      </c>
      <c r="L13" s="21">
        <f>M13*L$77</f>
        <v>262.53942000000006</v>
      </c>
      <c r="M13" s="21">
        <f>H13*(1+M$61)</f>
        <v>1009.7670000000002</v>
      </c>
      <c r="N13" s="21">
        <f>M13*(1+N$61)</f>
        <v>1100.6460300000003</v>
      </c>
    </row>
    <row r="14" spans="1:14" ht="15">
      <c r="A14" s="18" t="s">
        <v>112</v>
      </c>
      <c r="B14" s="19">
        <v>485</v>
      </c>
      <c r="C14" s="19">
        <v>506</v>
      </c>
      <c r="D14" s="19">
        <f>H14*D$77</f>
        <v>127.51200000000001</v>
      </c>
      <c r="E14" s="19">
        <f>H14*E$77</f>
        <v>132.82500000000002</v>
      </c>
      <c r="F14" s="19">
        <f>H14*F$77</f>
        <v>132.82500000000002</v>
      </c>
      <c r="G14" s="19">
        <f>H14*G$77</f>
        <v>138.13800000000003</v>
      </c>
      <c r="H14" s="19">
        <f>C14*(1+H$62)</f>
        <v>531.30000000000007</v>
      </c>
      <c r="I14" s="19">
        <f>M14*I$77</f>
        <v>133.88760000000002</v>
      </c>
      <c r="J14" s="19">
        <f>M14*J$77</f>
        <v>139.46625000000003</v>
      </c>
      <c r="K14" s="19">
        <f>M14*K$77</f>
        <v>139.46625000000003</v>
      </c>
      <c r="L14" s="19">
        <f>M14*L$77</f>
        <v>145.04490000000004</v>
      </c>
      <c r="M14" s="19">
        <f>H14*(1+M$62)</f>
        <v>557.86500000000012</v>
      </c>
      <c r="N14" s="19">
        <f>M14*(1+N$62)</f>
        <v>582.96892500000013</v>
      </c>
    </row>
    <row r="15" spans="1:14" ht="15">
      <c r="A15" s="16" t="s">
        <v>113</v>
      </c>
      <c r="B15" s="17">
        <f>SUM(B16:B18)</f>
        <v>1621</v>
      </c>
      <c r="C15" s="17">
        <f>SUM(C16:C18)</f>
        <v>1850</v>
      </c>
      <c r="D15" s="17">
        <f>SUM(D16:D18)</f>
        <v>494.4264</v>
      </c>
      <c r="E15" s="17">
        <f>SUM(E16:E18)</f>
        <v>515.02750000000003</v>
      </c>
      <c r="F15" s="17">
        <f>SUM(F16:F18)</f>
        <v>515.02750000000003</v>
      </c>
      <c r="G15" s="17">
        <f>SUM(G16:G18)</f>
        <v>535.62860000000001</v>
      </c>
      <c r="H15" s="17">
        <f>SUM(H16:H18)</f>
        <v>2060.11</v>
      </c>
      <c r="I15" s="17">
        <f>SUM(I16:I18)</f>
        <v>544.87994400000002</v>
      </c>
      <c r="J15" s="17">
        <f>M15*J$77</f>
        <v>567.58327500000007</v>
      </c>
      <c r="K15" s="17">
        <f>M15*K$77</f>
        <v>567.58327500000007</v>
      </c>
      <c r="L15" s="17">
        <f>M15*L$77</f>
        <v>590.28660600000012</v>
      </c>
      <c r="M15" s="17">
        <f>SUM(M16:M18)</f>
        <v>2270.3331000000003</v>
      </c>
      <c r="N15" s="17">
        <f>SUM(N16:N18)</f>
        <v>2479.8069200000004</v>
      </c>
    </row>
    <row r="16" spans="1:14" ht="15">
      <c r="A16" s="18" t="s">
        <v>114</v>
      </c>
      <c r="B16" s="19">
        <v>352</v>
      </c>
      <c r="C16" s="19">
        <v>428</v>
      </c>
      <c r="D16" s="19">
        <f>H16*D$77</f>
        <v>115.04640000000002</v>
      </c>
      <c r="E16" s="19">
        <f>H16*E$77</f>
        <v>119.84000000000002</v>
      </c>
      <c r="F16" s="19">
        <f>H16*F$77</f>
        <v>119.84000000000002</v>
      </c>
      <c r="G16" s="19">
        <f>H16*G$77</f>
        <v>124.63360000000002</v>
      </c>
      <c r="H16" s="19">
        <f>C16*(1+H$63)</f>
        <v>479.36000000000007</v>
      </c>
      <c r="I16" s="19">
        <f>M16*I$77</f>
        <v>127.70150400000003</v>
      </c>
      <c r="J16" s="19">
        <f>M16*J$77</f>
        <v>133.02240000000003</v>
      </c>
      <c r="K16" s="19">
        <f>M16*K$77</f>
        <v>133.02240000000003</v>
      </c>
      <c r="L16" s="19">
        <f>M16*L$77</f>
        <v>138.34329600000004</v>
      </c>
      <c r="M16" s="19">
        <f>H16*(1+M$63)</f>
        <v>532.08960000000013</v>
      </c>
      <c r="N16" s="19">
        <f>M16*(1+N$63)</f>
        <v>585.29856000000018</v>
      </c>
    </row>
    <row r="17" spans="1:14" ht="15">
      <c r="A17" s="20" t="s">
        <v>115</v>
      </c>
      <c r="B17" s="21">
        <v>996</v>
      </c>
      <c r="C17" s="21">
        <v>1091</v>
      </c>
      <c r="D17" s="21">
        <f>H17*D$77</f>
        <v>288.024</v>
      </c>
      <c r="E17" s="21">
        <f>H17*E$77</f>
        <v>300.02500000000003</v>
      </c>
      <c r="F17" s="21">
        <f>H17*F$77</f>
        <v>300.02500000000003</v>
      </c>
      <c r="G17" s="21">
        <f>H17*G$77</f>
        <v>312.02600000000007</v>
      </c>
      <c r="H17" s="21">
        <f>C17*(1+H$64)</f>
        <v>1200.1000000000001</v>
      </c>
      <c r="I17" s="21">
        <f>M17*I$77</f>
        <v>313.94616000000002</v>
      </c>
      <c r="J17" s="21">
        <f>M17*J$77</f>
        <v>327.02725000000004</v>
      </c>
      <c r="K17" s="21">
        <f>M17*K$77</f>
        <v>327.02725000000004</v>
      </c>
      <c r="L17" s="21">
        <f>M17*L$77</f>
        <v>340.10834000000006</v>
      </c>
      <c r="M17" s="21">
        <f>H17*(1+M$64)</f>
        <v>1308.1090000000002</v>
      </c>
      <c r="N17" s="21">
        <f>M17*(1+N$64)</f>
        <v>1412.7577200000003</v>
      </c>
    </row>
    <row r="18" spans="1:14" ht="15">
      <c r="A18" s="18" t="s">
        <v>116</v>
      </c>
      <c r="B18" s="19">
        <v>273</v>
      </c>
      <c r="C18" s="19">
        <v>331</v>
      </c>
      <c r="D18" s="19">
        <f>H18*D$77</f>
        <v>91.355999999999995</v>
      </c>
      <c r="E18" s="19">
        <f>H18*E$77</f>
        <v>95.162499999999994</v>
      </c>
      <c r="F18" s="19">
        <f>H18*F$77</f>
        <v>95.162499999999994</v>
      </c>
      <c r="G18" s="19">
        <f>H18*G$77</f>
        <v>98.968999999999994</v>
      </c>
      <c r="H18" s="19">
        <f>C18*(1+H$65)</f>
        <v>380.65</v>
      </c>
      <c r="I18" s="19">
        <f>M18*I$77</f>
        <v>103.23227999999999</v>
      </c>
      <c r="J18" s="19">
        <f>M18*J$77</f>
        <v>107.53362499999999</v>
      </c>
      <c r="K18" s="19">
        <f>M18*K$77</f>
        <v>107.53362499999999</v>
      </c>
      <c r="L18" s="19">
        <f>M18*L$77</f>
        <v>111.83496999999998</v>
      </c>
      <c r="M18" s="19">
        <f>H18*(1+M$65)</f>
        <v>430.13449999999995</v>
      </c>
      <c r="N18" s="19">
        <f>M18*(1+N$65)</f>
        <v>481.75063999999998</v>
      </c>
    </row>
    <row r="19" spans="1:14" ht="15">
      <c r="A19" s="22" t="s">
        <v>117</v>
      </c>
      <c r="B19" s="21">
        <v>3771</v>
      </c>
      <c r="C19" s="21">
        <v>4170</v>
      </c>
      <c r="D19" s="21">
        <f>H19*D$77</f>
        <v>1020.8159999999999</v>
      </c>
      <c r="E19" s="21">
        <f>H19*E$77</f>
        <v>1063.3499999999999</v>
      </c>
      <c r="F19" s="21">
        <f>H19*F$77</f>
        <v>1063.3499999999999</v>
      </c>
      <c r="G19" s="21">
        <f>H19*G$77</f>
        <v>1105.884</v>
      </c>
      <c r="H19" s="21">
        <f>C19*(1+H$66)</f>
        <v>4253.3999999999996</v>
      </c>
      <c r="I19" s="21">
        <f>M19*I$77</f>
        <v>1041.2323199999998</v>
      </c>
      <c r="J19" s="21">
        <f>M19*J$77</f>
        <v>1084.617</v>
      </c>
      <c r="K19" s="21">
        <f>M19*K$77</f>
        <v>1084.617</v>
      </c>
      <c r="L19" s="21">
        <f>M19*L$77</f>
        <v>1128.0016800000001</v>
      </c>
      <c r="M19" s="21">
        <f>H19*(1+M$66)</f>
        <v>4338.4679999999998</v>
      </c>
      <c r="N19" s="21">
        <f>M19*(1+N$66)</f>
        <v>4425.2373600000001</v>
      </c>
    </row>
    <row r="20" spans="1:14" ht="15">
      <c r="A20" s="23" t="s">
        <v>162</v>
      </c>
      <c r="B20" s="19">
        <v>63</v>
      </c>
      <c r="C20" s="19">
        <v>61</v>
      </c>
      <c r="D20" s="19">
        <f>H20*D$77</f>
        <v>14.639999999999999</v>
      </c>
      <c r="E20" s="19">
        <f>H20*E$77</f>
        <v>15.25</v>
      </c>
      <c r="F20" s="19">
        <f>H20*F$77</f>
        <v>15.25</v>
      </c>
      <c r="G20" s="19">
        <f>H20*G$77</f>
        <v>15.860000000000001</v>
      </c>
      <c r="H20" s="19">
        <v>61</v>
      </c>
      <c r="I20" s="19">
        <f>M20*I$77</f>
        <v>14.639999999999999</v>
      </c>
      <c r="J20" s="19">
        <f>M20*J$77</f>
        <v>15.25</v>
      </c>
      <c r="K20" s="19">
        <f>M20*K$77</f>
        <v>15.25</v>
      </c>
      <c r="L20" s="19">
        <f>M20*L$77</f>
        <v>15.860000000000001</v>
      </c>
      <c r="M20" s="19">
        <v>61</v>
      </c>
      <c r="N20" s="19">
        <v>61</v>
      </c>
    </row>
    <row r="21" spans="1:14" ht="15">
      <c r="A21" s="2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5">
      <c r="A22" s="1" t="s">
        <v>118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">
      <c r="A23" s="8"/>
      <c r="B23" s="8" t="s">
        <v>92</v>
      </c>
      <c r="C23" s="8" t="s">
        <v>93</v>
      </c>
      <c r="D23" s="8" t="s">
        <v>94</v>
      </c>
      <c r="E23" s="8" t="s">
        <v>95</v>
      </c>
      <c r="F23" s="8" t="s">
        <v>96</v>
      </c>
      <c r="G23" s="8" t="s">
        <v>97</v>
      </c>
      <c r="H23" s="8" t="s">
        <v>97</v>
      </c>
      <c r="I23" s="8" t="s">
        <v>98</v>
      </c>
      <c r="J23" s="8" t="s">
        <v>99</v>
      </c>
      <c r="K23" s="8" t="s">
        <v>100</v>
      </c>
      <c r="L23" s="8" t="s">
        <v>101</v>
      </c>
      <c r="M23" s="8" t="s">
        <v>101</v>
      </c>
      <c r="N23" s="8" t="s">
        <v>102</v>
      </c>
    </row>
    <row r="24" spans="1:14" ht="15">
      <c r="A24" s="9"/>
      <c r="B24" s="9"/>
      <c r="C24" s="9"/>
      <c r="D24" s="9" t="s">
        <v>103</v>
      </c>
      <c r="E24" s="9" t="s">
        <v>104</v>
      </c>
      <c r="F24" s="9" t="s">
        <v>105</v>
      </c>
      <c r="G24" s="9" t="s">
        <v>106</v>
      </c>
      <c r="H24" s="9"/>
      <c r="I24" s="9" t="s">
        <v>103</v>
      </c>
      <c r="J24" s="9" t="s">
        <v>104</v>
      </c>
      <c r="K24" s="9" t="s">
        <v>105</v>
      </c>
      <c r="L24" s="9" t="s">
        <v>106</v>
      </c>
      <c r="M24" s="9"/>
      <c r="N24" s="9"/>
    </row>
    <row r="25" spans="1:14" ht="15">
      <c r="A25" s="14" t="s">
        <v>7</v>
      </c>
      <c r="B25" s="15">
        <f>B10</f>
        <v>7400</v>
      </c>
      <c r="C25" s="15">
        <f>Financials!F4</f>
        <v>8262</v>
      </c>
      <c r="D25" s="15">
        <f>D10</f>
        <v>2084.1743999999999</v>
      </c>
      <c r="E25" s="15">
        <f>E10</f>
        <v>2171.0149999999999</v>
      </c>
      <c r="F25" s="15">
        <f>F10</f>
        <v>2171.0149999999999</v>
      </c>
      <c r="G25" s="15">
        <f>G10</f>
        <v>2257.8556000000003</v>
      </c>
      <c r="H25" s="15">
        <f>H10</f>
        <v>8684.06</v>
      </c>
      <c r="I25" s="15">
        <f>I10</f>
        <v>2196.8715120000002</v>
      </c>
      <c r="J25" s="15">
        <f>J10</f>
        <v>2288.4078250000002</v>
      </c>
      <c r="K25" s="15">
        <f>K10</f>
        <v>2288.4078250000002</v>
      </c>
      <c r="L25" s="15">
        <f>L10</f>
        <v>2379.9441380000003</v>
      </c>
      <c r="M25" s="15">
        <f>M10</f>
        <v>9153.6313000000009</v>
      </c>
      <c r="N25" s="15">
        <f>N10</f>
        <v>9620.8293269999995</v>
      </c>
    </row>
    <row r="26" spans="1:14" ht="15">
      <c r="A26" s="12" t="s">
        <v>119</v>
      </c>
      <c r="B26" s="17">
        <f>B25-B27</f>
        <v>4838</v>
      </c>
      <c r="C26" s="17">
        <f>C25-C27</f>
        <v>5197</v>
      </c>
      <c r="D26" s="17">
        <f>D25-D27</f>
        <v>1302.6599565757442</v>
      </c>
      <c r="E26" s="17">
        <f t="shared" ref="E26:G26" si="0">E25-E27</f>
        <v>1356.9374547664002</v>
      </c>
      <c r="F26" s="17">
        <f t="shared" si="0"/>
        <v>1356.9374547664002</v>
      </c>
      <c r="G26" s="17">
        <f t="shared" si="0"/>
        <v>1411.2149529570565</v>
      </c>
      <c r="H26" s="17">
        <f>H25-H27</f>
        <v>5427.7498190656006</v>
      </c>
      <c r="I26" s="17">
        <f>I25-I27</f>
        <v>1366.5077924036545</v>
      </c>
      <c r="J26" s="17">
        <f t="shared" ref="J26:L26" si="1">J25-J27</f>
        <v>1423.4456170871399</v>
      </c>
      <c r="K26" s="17">
        <f t="shared" si="1"/>
        <v>1423.4456170871399</v>
      </c>
      <c r="L26" s="17">
        <f t="shared" si="1"/>
        <v>1480.3834417706257</v>
      </c>
      <c r="M26" s="17">
        <f>M25-M27</f>
        <v>5693.7824683485596</v>
      </c>
      <c r="N26" s="17">
        <f>N25-N27</f>
        <v>5965.1494051466871</v>
      </c>
    </row>
    <row r="27" spans="1:14" ht="15">
      <c r="A27" s="14" t="s">
        <v>120</v>
      </c>
      <c r="B27" s="15">
        <v>2562</v>
      </c>
      <c r="C27" s="15">
        <v>3065</v>
      </c>
      <c r="D27" s="15">
        <f>D25*$H$68</f>
        <v>781.51444342425555</v>
      </c>
      <c r="E27" s="15">
        <f>E25*$H$68</f>
        <v>814.07754523359961</v>
      </c>
      <c r="F27" s="15">
        <f>F25*$H$68</f>
        <v>814.07754523359961</v>
      </c>
      <c r="G27" s="15">
        <f>G25*$H$68</f>
        <v>846.64064704294378</v>
      </c>
      <c r="H27" s="15">
        <f>H25*H68</f>
        <v>3256.3101809343984</v>
      </c>
      <c r="I27" s="15">
        <f>I25*$M$68</f>
        <v>830.36371959634573</v>
      </c>
      <c r="J27" s="15">
        <f>J25*$M$68</f>
        <v>864.96220791286021</v>
      </c>
      <c r="K27" s="15">
        <f>K25*$M$68</f>
        <v>864.96220791286021</v>
      </c>
      <c r="L27" s="15">
        <f>L25*$M$68</f>
        <v>899.56069622937457</v>
      </c>
      <c r="M27" s="15">
        <f>M25*M68</f>
        <v>3459.8488316514408</v>
      </c>
      <c r="N27" s="15">
        <f>N25*N68</f>
        <v>3655.6799218533124</v>
      </c>
    </row>
    <row r="28" spans="1:14" ht="15">
      <c r="A28" s="4" t="s">
        <v>121</v>
      </c>
      <c r="B28" s="21">
        <v>613</v>
      </c>
      <c r="C28" s="21">
        <v>632</v>
      </c>
      <c r="D28" s="21">
        <f>D25*$H$69</f>
        <v>157.34432000813362</v>
      </c>
      <c r="E28" s="21">
        <f>E25*$H$69</f>
        <v>163.90033334180586</v>
      </c>
      <c r="F28" s="21">
        <f>F25*$H$69</f>
        <v>163.90033334180586</v>
      </c>
      <c r="G28" s="21">
        <f>G25*$H$69</f>
        <v>170.45634667547813</v>
      </c>
      <c r="H28" s="21">
        <f>H25*H69</f>
        <v>655.60133336722345</v>
      </c>
      <c r="I28" s="21">
        <f>I25*$M$69</f>
        <v>161.45862240227163</v>
      </c>
      <c r="J28" s="21">
        <f>J25*$M$69</f>
        <v>168.18606500236629</v>
      </c>
      <c r="K28" s="21">
        <f>K25*$M$69</f>
        <v>168.18606500236629</v>
      </c>
      <c r="L28" s="21">
        <f>L25*$M$69</f>
        <v>174.91350760246092</v>
      </c>
      <c r="M28" s="21">
        <f>M25*M69</f>
        <v>672.74426000946517</v>
      </c>
      <c r="N28" s="21">
        <f>N25*N69</f>
        <v>683.02881012052683</v>
      </c>
    </row>
    <row r="29" spans="1:14" ht="15">
      <c r="A29" s="14" t="s">
        <v>9</v>
      </c>
      <c r="B29" s="15">
        <f>Financials!E6</f>
        <v>1949</v>
      </c>
      <c r="C29" s="15">
        <f>Financials!F6</f>
        <v>2433</v>
      </c>
      <c r="D29" s="15">
        <f>D27-D28</f>
        <v>624.1701234161219</v>
      </c>
      <c r="E29" s="15">
        <f>E27-E28</f>
        <v>650.17721189179372</v>
      </c>
      <c r="F29" s="15">
        <f>F27-F28</f>
        <v>650.17721189179372</v>
      </c>
      <c r="G29" s="15">
        <f>G27-G28</f>
        <v>676.18430036746565</v>
      </c>
      <c r="H29" s="32">
        <f>H27-H28</f>
        <v>2600.7088475671749</v>
      </c>
      <c r="I29" s="15">
        <f>I27-I28</f>
        <v>668.90509719407407</v>
      </c>
      <c r="J29" s="15">
        <f>J27-J28</f>
        <v>696.77614291049395</v>
      </c>
      <c r="K29" s="15">
        <f>K27-K28</f>
        <v>696.77614291049395</v>
      </c>
      <c r="L29" s="15">
        <f>L27-L28</f>
        <v>724.6471886269137</v>
      </c>
      <c r="M29" s="15">
        <f>M27-M28</f>
        <v>2787.1045716419758</v>
      </c>
      <c r="N29" s="15">
        <f>N27-N28</f>
        <v>2972.6511117327855</v>
      </c>
    </row>
    <row r="30" spans="1:14" ht="15">
      <c r="A30" s="4" t="s">
        <v>122</v>
      </c>
      <c r="B30" s="25">
        <v>28</v>
      </c>
      <c r="C30" s="25">
        <v>39</v>
      </c>
      <c r="D30" s="25">
        <f>$H$71/4</f>
        <v>9.75</v>
      </c>
      <c r="E30" s="25">
        <f>$H$71/4</f>
        <v>9.75</v>
      </c>
      <c r="F30" s="25">
        <f>$H$71/4</f>
        <v>9.75</v>
      </c>
      <c r="G30" s="25">
        <f>$H$71/4</f>
        <v>9.75</v>
      </c>
      <c r="H30" s="25">
        <f>H71</f>
        <v>39</v>
      </c>
      <c r="I30" s="25">
        <f>$M$71/4</f>
        <v>10.237500000000001</v>
      </c>
      <c r="J30" s="25">
        <f>$M$71/4</f>
        <v>10.237500000000001</v>
      </c>
      <c r="K30" s="25">
        <f>$M$71/4</f>
        <v>10.237500000000001</v>
      </c>
      <c r="L30" s="25">
        <f>$M$71/4</f>
        <v>10.237500000000001</v>
      </c>
      <c r="M30" s="25">
        <f>M71</f>
        <v>40.950000000000003</v>
      </c>
      <c r="N30" s="25">
        <f>N71</f>
        <v>42.997500000000002</v>
      </c>
    </row>
    <row r="31" spans="1:14" ht="15">
      <c r="A31" s="2" t="s">
        <v>123</v>
      </c>
      <c r="B31" s="19">
        <v>414</v>
      </c>
      <c r="C31" s="19">
        <v>367</v>
      </c>
      <c r="D31" s="19">
        <f>$H$72/4</f>
        <v>87.162499999999994</v>
      </c>
      <c r="E31" s="19">
        <f>$H$72/4</f>
        <v>87.162499999999994</v>
      </c>
      <c r="F31" s="19">
        <f>$H$72/4</f>
        <v>87.162499999999994</v>
      </c>
      <c r="G31" s="19">
        <f>$H$72/4</f>
        <v>87.162499999999994</v>
      </c>
      <c r="H31" s="19">
        <f>H72</f>
        <v>348.65</v>
      </c>
      <c r="I31" s="19">
        <f>$M$72/4</f>
        <v>82.804374999999993</v>
      </c>
      <c r="J31" s="19">
        <f>$M$72/4</f>
        <v>82.804374999999993</v>
      </c>
      <c r="K31" s="19">
        <f>$M$72/4</f>
        <v>82.804374999999993</v>
      </c>
      <c r="L31" s="19">
        <f>$M$72/4</f>
        <v>82.804374999999993</v>
      </c>
      <c r="M31" s="19">
        <f>M72</f>
        <v>331.21749999999997</v>
      </c>
      <c r="N31" s="19">
        <f>N72</f>
        <v>314.65662499999996</v>
      </c>
    </row>
    <row r="32" spans="1:14" ht="15">
      <c r="A32" s="12" t="s">
        <v>124</v>
      </c>
      <c r="B32" s="17">
        <f>B29+B30-B31</f>
        <v>1563</v>
      </c>
      <c r="C32" s="17">
        <f>C29+C30-C31</f>
        <v>2105</v>
      </c>
      <c r="D32" s="17">
        <f>D29+D30-D31</f>
        <v>546.75762341612187</v>
      </c>
      <c r="E32" s="17">
        <f>E29+E30-E31</f>
        <v>572.7647118917937</v>
      </c>
      <c r="F32" s="17">
        <f>F29+F30-F31</f>
        <v>572.7647118917937</v>
      </c>
      <c r="G32" s="17">
        <f>G29+G30-G31</f>
        <v>598.77180036746563</v>
      </c>
      <c r="H32" s="13">
        <f>H29+H30-H31</f>
        <v>2291.0588475671748</v>
      </c>
      <c r="I32" s="17">
        <f>I29+I30-I31</f>
        <v>596.33822219407398</v>
      </c>
      <c r="J32" s="17">
        <f>J29+J30-J31</f>
        <v>624.20926791049396</v>
      </c>
      <c r="K32" s="17">
        <f>K29+K30-K31</f>
        <v>624.20926791049396</v>
      </c>
      <c r="L32" s="17">
        <f>L29+L30-L31</f>
        <v>652.08031362691372</v>
      </c>
      <c r="M32" s="17">
        <f>M29+M30-M31</f>
        <v>2496.8370716419759</v>
      </c>
      <c r="N32" s="17">
        <f>N29+N30-N31</f>
        <v>2700.9919867327853</v>
      </c>
    </row>
    <row r="33" spans="1:14" ht="15">
      <c r="A33" s="14" t="s">
        <v>10</v>
      </c>
      <c r="B33" s="15">
        <f>B32*(1-B70)</f>
        <v>1202.7284999999999</v>
      </c>
      <c r="C33" s="15">
        <f>C32*(1-C70)</f>
        <v>1753.6754999999998</v>
      </c>
      <c r="D33" s="15">
        <f>D32*(1-$H$70)</f>
        <v>446.37839133315606</v>
      </c>
      <c r="E33" s="15">
        <f>E32*(1-$H$70)</f>
        <v>467.6108384355793</v>
      </c>
      <c r="F33" s="15">
        <f>F32*(1-$H$70)</f>
        <v>467.6108384355793</v>
      </c>
      <c r="G33" s="15">
        <f>G32*(1-$H$70)</f>
        <v>488.84328553800259</v>
      </c>
      <c r="H33" s="32">
        <f>H32*(1-H70)</f>
        <v>1870.4433537423172</v>
      </c>
      <c r="I33" s="15">
        <f>I32*(1-$M$70)</f>
        <v>481.38240127083338</v>
      </c>
      <c r="J33" s="15">
        <f>J32*(1-$M$70)</f>
        <v>503.88075944002196</v>
      </c>
      <c r="K33" s="15">
        <f>K32*(1-$M$70)</f>
        <v>503.88075944002196</v>
      </c>
      <c r="L33" s="15">
        <f>L32*(1-$M$70)</f>
        <v>526.37911760921031</v>
      </c>
      <c r="M33" s="15">
        <f>M32*(1-M70)</f>
        <v>2015.5230377600878</v>
      </c>
      <c r="N33" s="15">
        <f>N32*(1-N70)</f>
        <v>2180.3231119462994</v>
      </c>
    </row>
    <row r="34" spans="1:14" ht="15">
      <c r="A34" s="4" t="s">
        <v>161</v>
      </c>
      <c r="B34" s="5">
        <f>Financials!E77</f>
        <v>579.18952200000001</v>
      </c>
      <c r="C34" s="5">
        <f>Financials!F77</f>
        <v>578.59768699999995</v>
      </c>
      <c r="D34" s="5">
        <f>$H34</f>
        <v>575.70469856499994</v>
      </c>
      <c r="E34" s="5">
        <f>$H34</f>
        <v>575.70469856499994</v>
      </c>
      <c r="F34" s="5">
        <f>$H34</f>
        <v>575.70469856499994</v>
      </c>
      <c r="G34" s="5">
        <f>$H34</f>
        <v>575.70469856499994</v>
      </c>
      <c r="H34" s="5">
        <f>C34*(1+H74)</f>
        <v>575.70469856499994</v>
      </c>
      <c r="I34" s="5">
        <f>$M34</f>
        <v>572.82617507217492</v>
      </c>
      <c r="J34" s="5">
        <f>$M34</f>
        <v>572.82617507217492</v>
      </c>
      <c r="K34" s="5">
        <f>$M34</f>
        <v>572.82617507217492</v>
      </c>
      <c r="L34" s="5">
        <f>$M34</f>
        <v>572.82617507217492</v>
      </c>
      <c r="M34" s="5">
        <f>H34*(1+M74)</f>
        <v>572.82617507217492</v>
      </c>
      <c r="N34" s="5">
        <f>M34*(1+N74)</f>
        <v>569.96204419681408</v>
      </c>
    </row>
    <row r="35" spans="1:14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">
      <c r="A36" s="1" t="s">
        <v>125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">
      <c r="A37" s="8"/>
      <c r="B37" s="8" t="s">
        <v>92</v>
      </c>
      <c r="C37" s="8" t="s">
        <v>93</v>
      </c>
      <c r="D37" s="8" t="s">
        <v>94</v>
      </c>
      <c r="E37" s="8" t="s">
        <v>95</v>
      </c>
      <c r="F37" s="8" t="s">
        <v>96</v>
      </c>
      <c r="G37" s="8" t="s">
        <v>97</v>
      </c>
      <c r="H37" s="8" t="s">
        <v>97</v>
      </c>
      <c r="I37" s="8" t="s">
        <v>98</v>
      </c>
      <c r="J37" s="8" t="s">
        <v>99</v>
      </c>
      <c r="K37" s="8" t="s">
        <v>100</v>
      </c>
      <c r="L37" s="8" t="s">
        <v>101</v>
      </c>
      <c r="M37" s="8" t="s">
        <v>101</v>
      </c>
      <c r="N37" s="8" t="s">
        <v>102</v>
      </c>
    </row>
    <row r="38" spans="1:14" ht="15">
      <c r="A38" s="9"/>
      <c r="B38" s="9"/>
      <c r="C38" s="9"/>
      <c r="D38" s="9" t="s">
        <v>103</v>
      </c>
      <c r="E38" s="9" t="s">
        <v>104</v>
      </c>
      <c r="F38" s="9" t="s">
        <v>105</v>
      </c>
      <c r="G38" s="9" t="s">
        <v>106</v>
      </c>
      <c r="H38" s="9"/>
      <c r="I38" s="9" t="s">
        <v>103</v>
      </c>
      <c r="J38" s="9" t="s">
        <v>104</v>
      </c>
      <c r="K38" s="9" t="s">
        <v>105</v>
      </c>
      <c r="L38" s="9" t="s">
        <v>106</v>
      </c>
      <c r="M38" s="9"/>
      <c r="N38" s="9"/>
    </row>
    <row r="39" spans="1:14" ht="15">
      <c r="A39" s="14" t="s">
        <v>126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7"/>
    </row>
    <row r="40" spans="1:14" ht="15">
      <c r="A40" s="22" t="s">
        <v>127</v>
      </c>
      <c r="B40" s="36">
        <f>B52</f>
        <v>623</v>
      </c>
      <c r="C40" s="36">
        <f>C52</f>
        <v>814</v>
      </c>
      <c r="D40" s="36">
        <f>D52</f>
        <v>834.64</v>
      </c>
      <c r="E40" s="36">
        <f t="shared" ref="E40:G40" si="2">E52</f>
        <v>856.14</v>
      </c>
      <c r="F40" s="36">
        <f t="shared" si="2"/>
        <v>877.64</v>
      </c>
      <c r="G40" s="36">
        <f t="shared" si="2"/>
        <v>900</v>
      </c>
      <c r="H40" s="36">
        <f>H52</f>
        <v>900</v>
      </c>
      <c r="I40" s="36">
        <f>I52</f>
        <v>924</v>
      </c>
      <c r="J40" s="36">
        <f t="shared" ref="J40:L40" si="3">J52</f>
        <v>949</v>
      </c>
      <c r="K40" s="36">
        <f t="shared" si="3"/>
        <v>974</v>
      </c>
      <c r="L40" s="36">
        <f t="shared" si="3"/>
        <v>1000</v>
      </c>
      <c r="M40" s="36">
        <f>M52</f>
        <v>1000</v>
      </c>
      <c r="N40" s="36">
        <f>N52</f>
        <v>1100</v>
      </c>
    </row>
    <row r="41" spans="1:14" ht="15">
      <c r="A41" s="4" t="s">
        <v>13</v>
      </c>
      <c r="B41" s="36">
        <f>Financials!E10</f>
        <v>30395</v>
      </c>
      <c r="C41" s="36">
        <f>Financials!F10</f>
        <v>31053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15">
      <c r="A42" s="2" t="s">
        <v>14</v>
      </c>
      <c r="B42" s="37">
        <f>Financials!E11</f>
        <v>9923</v>
      </c>
      <c r="C42" s="37">
        <f>Financials!F11</f>
        <v>9526</v>
      </c>
      <c r="D42" s="37">
        <f>D53</f>
        <v>9002.9145070937102</v>
      </c>
      <c r="E42" s="37">
        <f t="shared" ref="E42:G42" si="4">E53</f>
        <v>8458.0337853163255</v>
      </c>
      <c r="F42" s="37">
        <f t="shared" si="4"/>
        <v>7913.1530635389408</v>
      </c>
      <c r="G42" s="37">
        <f t="shared" si="4"/>
        <v>7346.4771128904604</v>
      </c>
      <c r="H42" s="37">
        <f>H53</f>
        <v>7346.4771128904595</v>
      </c>
      <c r="I42" s="37">
        <f>I53</f>
        <v>6791.1991067857671</v>
      </c>
      <c r="J42" s="37">
        <f t="shared" ref="J42:K42" si="5">J53</f>
        <v>6212.7845170933788</v>
      </c>
      <c r="K42" s="37">
        <f t="shared" si="5"/>
        <v>5634.3699274009905</v>
      </c>
      <c r="L42" s="37">
        <f>L53</f>
        <v>5032.8187541209063</v>
      </c>
      <c r="M42" s="37">
        <f>M53</f>
        <v>5032.8187541209063</v>
      </c>
      <c r="N42" s="37">
        <f>N53</f>
        <v>2558.09171186408</v>
      </c>
    </row>
    <row r="43" spans="1:14" ht="15">
      <c r="A43" s="4" t="s">
        <v>15</v>
      </c>
      <c r="B43" s="36"/>
      <c r="C43" s="36"/>
      <c r="D43" s="36">
        <f>D54</f>
        <v>8168.2745070937099</v>
      </c>
      <c r="E43" s="36">
        <f>E54</f>
        <v>7601.8937853163252</v>
      </c>
      <c r="F43" s="36">
        <f t="shared" ref="F43:N43" si="6">F54</f>
        <v>7035.5130635389405</v>
      </c>
      <c r="G43" s="36">
        <f t="shared" si="6"/>
        <v>6446.4771128904604</v>
      </c>
      <c r="H43" s="36">
        <f t="shared" si="6"/>
        <v>6446.4771128904595</v>
      </c>
      <c r="I43" s="36">
        <f t="shared" si="6"/>
        <v>5867.1991067857671</v>
      </c>
      <c r="J43" s="36">
        <f t="shared" si="6"/>
        <v>5263.7845170933788</v>
      </c>
      <c r="K43" s="36">
        <f t="shared" si="6"/>
        <v>4660.3699274009905</v>
      </c>
      <c r="L43" s="36">
        <f t="shared" si="6"/>
        <v>4032.8187541209063</v>
      </c>
      <c r="M43" s="36">
        <f t="shared" si="6"/>
        <v>4032.8187541209063</v>
      </c>
      <c r="N43" s="36">
        <f t="shared" si="6"/>
        <v>1458.09171186408</v>
      </c>
    </row>
    <row r="44" spans="1:14" ht="15">
      <c r="A44" s="2" t="s">
        <v>128</v>
      </c>
      <c r="B44" s="37">
        <f>Financials!E14</f>
        <v>11200</v>
      </c>
      <c r="C44" s="37">
        <f>Financials!F14</f>
        <v>12232</v>
      </c>
      <c r="D44" s="37">
        <f>C44+D33</f>
        <v>12678.378391333155</v>
      </c>
      <c r="E44" s="37">
        <f>D44+E33</f>
        <v>13145.989229768735</v>
      </c>
      <c r="F44" s="37">
        <f>E44+F33</f>
        <v>13613.600068204314</v>
      </c>
      <c r="G44" s="37">
        <f>F44+G33</f>
        <v>14102.443353742317</v>
      </c>
      <c r="H44" s="37">
        <f>C44+H33</f>
        <v>14102.443353742317</v>
      </c>
      <c r="I44" s="37">
        <f>H44+I33</f>
        <v>14583.825755013151</v>
      </c>
      <c r="J44" s="37">
        <f>I44+J33</f>
        <v>15087.706514453173</v>
      </c>
      <c r="K44" s="37">
        <f>J44+K33</f>
        <v>15591.587273893196</v>
      </c>
      <c r="L44" s="37">
        <f>K44+L33</f>
        <v>16117.966391502407</v>
      </c>
      <c r="M44" s="37">
        <f>H44+M33</f>
        <v>16117.966391502405</v>
      </c>
      <c r="N44" s="37">
        <f>M44+N33</f>
        <v>18298.289503448705</v>
      </c>
    </row>
    <row r="45" spans="1:14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">
      <c r="A46" s="1" t="s">
        <v>129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">
      <c r="A47" s="8"/>
      <c r="B47" s="8" t="s">
        <v>92</v>
      </c>
      <c r="C47" s="8" t="s">
        <v>93</v>
      </c>
      <c r="D47" s="8" t="s">
        <v>94</v>
      </c>
      <c r="E47" s="8" t="s">
        <v>95</v>
      </c>
      <c r="F47" s="8" t="s">
        <v>96</v>
      </c>
      <c r="G47" s="8" t="s">
        <v>97</v>
      </c>
      <c r="H47" s="8" t="s">
        <v>97</v>
      </c>
      <c r="I47" s="8" t="s">
        <v>98</v>
      </c>
      <c r="J47" s="8" t="s">
        <v>99</v>
      </c>
      <c r="K47" s="8" t="s">
        <v>100</v>
      </c>
      <c r="L47" s="8" t="s">
        <v>101</v>
      </c>
      <c r="M47" s="8" t="s">
        <v>101</v>
      </c>
      <c r="N47" s="8" t="s">
        <v>102</v>
      </c>
    </row>
    <row r="48" spans="1:14" ht="15">
      <c r="A48" s="9"/>
      <c r="B48" s="9"/>
      <c r="C48" s="9"/>
      <c r="D48" s="9" t="s">
        <v>103</v>
      </c>
      <c r="E48" s="9" t="s">
        <v>104</v>
      </c>
      <c r="F48" s="9" t="s">
        <v>105</v>
      </c>
      <c r="G48" s="9" t="s">
        <v>106</v>
      </c>
      <c r="H48" s="9"/>
      <c r="I48" s="9" t="s">
        <v>103</v>
      </c>
      <c r="J48" s="9" t="s">
        <v>104</v>
      </c>
      <c r="K48" s="9" t="s">
        <v>105</v>
      </c>
      <c r="L48" s="9" t="s">
        <v>106</v>
      </c>
      <c r="M48" s="9"/>
      <c r="N48" s="9"/>
    </row>
    <row r="49" spans="1:14" ht="15">
      <c r="A49" s="2" t="s">
        <v>19</v>
      </c>
      <c r="B49" s="19">
        <f>Financials!E16</f>
        <v>1939</v>
      </c>
      <c r="C49" s="19">
        <f>Financials!F16</f>
        <v>2255</v>
      </c>
      <c r="D49" s="19">
        <f>$H49*D$77</f>
        <v>606.25072490628975</v>
      </c>
      <c r="E49" s="19">
        <f>$H49*E$77</f>
        <v>631.51117177738513</v>
      </c>
      <c r="F49" s="19">
        <f>$H49*F$77</f>
        <v>631.51117177738513</v>
      </c>
      <c r="G49" s="19">
        <f>$H49*G$77</f>
        <v>656.77161864848051</v>
      </c>
      <c r="H49" s="19">
        <f>H33+H28</f>
        <v>2526.0446871095405</v>
      </c>
      <c r="I49" s="19">
        <f>$M49*I77</f>
        <v>645.18415146469272</v>
      </c>
      <c r="J49" s="19">
        <f>$M49*J77</f>
        <v>672.06682444238822</v>
      </c>
      <c r="K49" s="19">
        <f>$M49*K77</f>
        <v>672.06682444238822</v>
      </c>
      <c r="L49" s="19">
        <f>$M49*L77</f>
        <v>698.94949742008373</v>
      </c>
      <c r="M49" s="19">
        <f>M33+M28</f>
        <v>2688.2672977695529</v>
      </c>
      <c r="N49" s="19">
        <f>N33+N28</f>
        <v>2863.3519220668263</v>
      </c>
    </row>
    <row r="50" spans="1:14" ht="15">
      <c r="A50" s="4" t="s">
        <v>20</v>
      </c>
      <c r="B50" s="21">
        <f>Financials!E17</f>
        <v>-207</v>
      </c>
      <c r="C50" s="21">
        <f>Financials!F17</f>
        <v>-266</v>
      </c>
      <c r="D50" s="21">
        <f>$H50*D$77</f>
        <v>-62.525231999999995</v>
      </c>
      <c r="E50" s="21">
        <f>$H50*E$77</f>
        <v>-65.130449999999996</v>
      </c>
      <c r="F50" s="21">
        <f>$H50*F$77</f>
        <v>-65.130449999999996</v>
      </c>
      <c r="G50" s="21">
        <f>$H50*G$77</f>
        <v>-67.735668000000004</v>
      </c>
      <c r="H50" s="21">
        <f>(H25*H73)</f>
        <v>-260.52179999999998</v>
      </c>
      <c r="I50" s="21">
        <f>$M50*I$77</f>
        <v>-65.906145359999996</v>
      </c>
      <c r="J50" s="21">
        <f>$M50*J$77</f>
        <v>-68.652234750000005</v>
      </c>
      <c r="K50" s="21">
        <f>$M50*K$77</f>
        <v>-68.652234750000005</v>
      </c>
      <c r="L50" s="21">
        <f>$M50*L$77</f>
        <v>-71.398324140000014</v>
      </c>
      <c r="M50" s="21">
        <f>(M25*M73)</f>
        <v>-274.60893900000002</v>
      </c>
      <c r="N50" s="21">
        <f>(N25*N73)</f>
        <v>-288.62487980999998</v>
      </c>
    </row>
    <row r="51" spans="1:14" ht="15">
      <c r="A51" s="2" t="s">
        <v>23</v>
      </c>
      <c r="B51" s="19">
        <f>SUM(B49:B50)</f>
        <v>1732</v>
      </c>
      <c r="C51" s="19">
        <f>SUM(C49:C50)</f>
        <v>1989</v>
      </c>
      <c r="D51" s="19">
        <f>SUM(D49:D50)</f>
        <v>543.72549290628979</v>
      </c>
      <c r="E51" s="19">
        <f>SUM(E49:E50)</f>
        <v>566.38072177738513</v>
      </c>
      <c r="F51" s="19">
        <f>SUM(F49:F50)</f>
        <v>566.38072177738513</v>
      </c>
      <c r="G51" s="19">
        <f>SUM(G49:G50)</f>
        <v>589.03595064848048</v>
      </c>
      <c r="H51" s="19">
        <f>SUM(H49:H50)</f>
        <v>2265.5228871095405</v>
      </c>
      <c r="I51" s="19">
        <f>SUM(I49:I50)</f>
        <v>579.27800610469274</v>
      </c>
      <c r="J51" s="19">
        <f>SUM(J49:J50)</f>
        <v>603.41458969238818</v>
      </c>
      <c r="K51" s="19">
        <f>SUM(K49:K50)</f>
        <v>603.41458969238818</v>
      </c>
      <c r="L51" s="19">
        <f>SUM(L49:L50)</f>
        <v>627.55117328008373</v>
      </c>
      <c r="M51" s="19">
        <f>SUM(M49:M50)</f>
        <v>2413.6583587695527</v>
      </c>
      <c r="N51" s="19">
        <f>SUM(N49:N50)</f>
        <v>2574.7270422568263</v>
      </c>
    </row>
    <row r="52" spans="1:14" ht="15">
      <c r="A52" s="4" t="s">
        <v>163</v>
      </c>
      <c r="B52" s="21">
        <f>Financials!E9</f>
        <v>623</v>
      </c>
      <c r="C52" s="21">
        <f>Financials!F9</f>
        <v>814</v>
      </c>
      <c r="D52" s="21">
        <f>$C52+($H52-$C52)*D$78</f>
        <v>834.64</v>
      </c>
      <c r="E52" s="21">
        <f>$C52+($H52-$C52)*E$78</f>
        <v>856.14</v>
      </c>
      <c r="F52" s="21">
        <f>$C52+($H52-$C52)*F$78</f>
        <v>877.64</v>
      </c>
      <c r="G52" s="21">
        <f>$H52</f>
        <v>900</v>
      </c>
      <c r="H52" s="21">
        <v>900</v>
      </c>
      <c r="I52" s="21">
        <f>$H52+($M52-$H52)*I$78</f>
        <v>924</v>
      </c>
      <c r="J52" s="21">
        <f>$H52+($M52-$H52)*J$78</f>
        <v>949</v>
      </c>
      <c r="K52" s="21">
        <f>$H52+($M52-$H52)*K$78</f>
        <v>974</v>
      </c>
      <c r="L52" s="21">
        <f>$H52+($M52-$H52)*L$78</f>
        <v>1000</v>
      </c>
      <c r="M52" s="21">
        <v>1000</v>
      </c>
      <c r="N52" s="21">
        <v>1100</v>
      </c>
    </row>
    <row r="53" spans="1:14" ht="15">
      <c r="A53" s="2" t="s">
        <v>14</v>
      </c>
      <c r="B53" s="19">
        <f>Financials!E11</f>
        <v>9923</v>
      </c>
      <c r="C53" s="19">
        <f>Financials!F11</f>
        <v>9526</v>
      </c>
      <c r="D53" s="19">
        <f>$C53-(D51-(D52-$C52))</f>
        <v>9002.9145070937102</v>
      </c>
      <c r="E53" s="19">
        <f>D53-(E51-(E52-D52))</f>
        <v>8458.0337853163255</v>
      </c>
      <c r="F53" s="19">
        <f>E53-(F51-(F52-E52))</f>
        <v>7913.1530635389408</v>
      </c>
      <c r="G53" s="19">
        <f>F53-(G51-(G52-F52))</f>
        <v>7346.4771128904604</v>
      </c>
      <c r="H53" s="19">
        <f>C53-(H51-(H52-C52))</f>
        <v>7346.4771128904595</v>
      </c>
      <c r="I53" s="19">
        <f>$H53-(I51-(I52-$H52))</f>
        <v>6791.1991067857671</v>
      </c>
      <c r="J53" s="19">
        <f>I53-(J51-(J52-I52))</f>
        <v>6212.7845170933788</v>
      </c>
      <c r="K53" s="19">
        <f>J53-(K51-(K52-J52))</f>
        <v>5634.3699274009905</v>
      </c>
      <c r="L53" s="19">
        <f>K53-(L51-(L52-K52))</f>
        <v>5032.8187541209063</v>
      </c>
      <c r="M53" s="19">
        <f>H53-(M51-(M52-H52))</f>
        <v>5032.8187541209063</v>
      </c>
      <c r="N53" s="19">
        <f>M53-(N51-(N52-M52))</f>
        <v>2558.09171186408</v>
      </c>
    </row>
    <row r="54" spans="1:14" ht="15">
      <c r="A54" s="4" t="s">
        <v>15</v>
      </c>
      <c r="B54" s="21">
        <f>B53-B52</f>
        <v>9300</v>
      </c>
      <c r="C54" s="21">
        <f>C53-C52</f>
        <v>8712</v>
      </c>
      <c r="D54" s="21">
        <f>D53-D52</f>
        <v>8168.2745070937099</v>
      </c>
      <c r="E54" s="21">
        <f t="shared" ref="E54:G54" si="7">E53-E52</f>
        <v>7601.8937853163252</v>
      </c>
      <c r="F54" s="21">
        <f t="shared" si="7"/>
        <v>7035.5130635389405</v>
      </c>
      <c r="G54" s="21">
        <f t="shared" si="7"/>
        <v>6446.4771128904604</v>
      </c>
      <c r="H54" s="21">
        <f>H53-H52</f>
        <v>6446.4771128904595</v>
      </c>
      <c r="I54" s="21">
        <f>I53-I52</f>
        <v>5867.1991067857671</v>
      </c>
      <c r="J54" s="21">
        <f t="shared" ref="J54:L54" si="8">J53-J52</f>
        <v>5263.7845170933788</v>
      </c>
      <c r="K54" s="21">
        <f t="shared" si="8"/>
        <v>4660.3699274009905</v>
      </c>
      <c r="L54" s="21">
        <f t="shared" si="8"/>
        <v>4032.8187541209063</v>
      </c>
      <c r="M54" s="21">
        <f>M53-M52</f>
        <v>4032.8187541209063</v>
      </c>
      <c r="N54" s="21">
        <f>N53-N52</f>
        <v>1458.09171186408</v>
      </c>
    </row>
    <row r="55" spans="1:14" ht="15">
      <c r="A55" s="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7" spans="1:14" ht="15">
      <c r="A57" s="1" t="s">
        <v>146</v>
      </c>
    </row>
    <row r="58" spans="1:14" ht="15">
      <c r="A58" s="8"/>
      <c r="B58" s="8" t="s">
        <v>92</v>
      </c>
      <c r="C58" s="8" t="s">
        <v>93</v>
      </c>
      <c r="D58" s="8"/>
      <c r="E58" s="8"/>
      <c r="F58" s="8"/>
      <c r="G58" s="8"/>
      <c r="H58" s="8" t="s">
        <v>97</v>
      </c>
      <c r="I58" s="8"/>
      <c r="J58" s="8"/>
      <c r="K58" s="8"/>
      <c r="L58" s="8"/>
      <c r="M58" s="8" t="s">
        <v>101</v>
      </c>
      <c r="N58" s="8" t="s">
        <v>102</v>
      </c>
    </row>
    <row r="59" spans="1:14" ht="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5">
      <c r="A60" s="2" t="s">
        <v>147</v>
      </c>
      <c r="B60" s="1"/>
      <c r="C60" s="1"/>
      <c r="D60" s="1"/>
      <c r="E60" s="1"/>
      <c r="F60" s="1"/>
      <c r="G60" s="1"/>
      <c r="H60" s="27">
        <v>7.0000000000000007E-2</v>
      </c>
      <c r="I60" s="27"/>
      <c r="J60" s="27"/>
      <c r="K60" s="27"/>
      <c r="L60" s="27"/>
      <c r="M60" s="27">
        <v>6.5000000000000002E-2</v>
      </c>
      <c r="N60" s="27">
        <v>0.06</v>
      </c>
    </row>
    <row r="61" spans="1:14" ht="15">
      <c r="A61" s="2" t="s">
        <v>148</v>
      </c>
      <c r="B61" s="1"/>
      <c r="C61" s="1"/>
      <c r="D61" s="1"/>
      <c r="E61" s="1"/>
      <c r="F61" s="1"/>
      <c r="G61" s="1"/>
      <c r="H61" s="27">
        <v>0.11</v>
      </c>
      <c r="I61" s="27"/>
      <c r="J61" s="27"/>
      <c r="K61" s="27"/>
      <c r="L61" s="27"/>
      <c r="M61" s="27">
        <v>0.1</v>
      </c>
      <c r="N61" s="27">
        <v>0.09</v>
      </c>
    </row>
    <row r="62" spans="1:14" ht="15">
      <c r="A62" s="2" t="s">
        <v>149</v>
      </c>
      <c r="B62" s="1"/>
      <c r="C62" s="1"/>
      <c r="D62" s="1"/>
      <c r="E62" s="1"/>
      <c r="F62" s="1"/>
      <c r="G62" s="1"/>
      <c r="H62" s="27">
        <v>0.05</v>
      </c>
      <c r="I62" s="27"/>
      <c r="J62" s="27"/>
      <c r="K62" s="27"/>
      <c r="L62" s="27"/>
      <c r="M62" s="27">
        <v>0.05</v>
      </c>
      <c r="N62" s="27">
        <v>4.4999999999999998E-2</v>
      </c>
    </row>
    <row r="63" spans="1:14" ht="15">
      <c r="A63" s="2" t="s">
        <v>150</v>
      </c>
      <c r="B63" s="1"/>
      <c r="C63" s="1"/>
      <c r="D63" s="1"/>
      <c r="E63" s="1"/>
      <c r="F63" s="1"/>
      <c r="G63" s="1"/>
      <c r="H63" s="27">
        <v>0.12</v>
      </c>
      <c r="I63" s="27"/>
      <c r="J63" s="27"/>
      <c r="K63" s="27"/>
      <c r="L63" s="27"/>
      <c r="M63" s="27">
        <v>0.11</v>
      </c>
      <c r="N63" s="27">
        <v>0.1</v>
      </c>
    </row>
    <row r="64" spans="1:14" ht="15">
      <c r="A64" s="2" t="s">
        <v>151</v>
      </c>
      <c r="B64" s="1"/>
      <c r="C64" s="1"/>
      <c r="D64" s="1"/>
      <c r="E64" s="1"/>
      <c r="F64" s="1"/>
      <c r="G64" s="1"/>
      <c r="H64" s="27">
        <v>0.1</v>
      </c>
      <c r="I64" s="27"/>
      <c r="J64" s="27"/>
      <c r="K64" s="27"/>
      <c r="L64" s="27"/>
      <c r="M64" s="27">
        <v>0.09</v>
      </c>
      <c r="N64" s="27">
        <v>0.08</v>
      </c>
    </row>
    <row r="65" spans="1:14" ht="15">
      <c r="A65" s="2" t="s">
        <v>172</v>
      </c>
      <c r="B65" s="1"/>
      <c r="C65" s="1"/>
      <c r="D65" s="1"/>
      <c r="E65" s="1"/>
      <c r="F65" s="1"/>
      <c r="G65" s="1"/>
      <c r="H65" s="27">
        <v>0.15</v>
      </c>
      <c r="I65" s="27"/>
      <c r="J65" s="27"/>
      <c r="K65" s="27"/>
      <c r="L65" s="27"/>
      <c r="M65" s="27">
        <v>0.13</v>
      </c>
      <c r="N65" s="27">
        <v>0.12</v>
      </c>
    </row>
    <row r="66" spans="1:14" ht="15">
      <c r="A66" s="2" t="s">
        <v>152</v>
      </c>
      <c r="B66" s="1"/>
      <c r="C66" s="1"/>
      <c r="D66" s="1"/>
      <c r="E66" s="1"/>
      <c r="F66" s="1"/>
      <c r="G66" s="1"/>
      <c r="H66" s="27">
        <v>0.02</v>
      </c>
      <c r="I66" s="27"/>
      <c r="J66" s="27"/>
      <c r="K66" s="27"/>
      <c r="L66" s="27"/>
      <c r="M66" s="27">
        <v>0.02</v>
      </c>
      <c r="N66" s="27">
        <v>0.02</v>
      </c>
    </row>
    <row r="67" spans="1:14" ht="15">
      <c r="A67" s="2" t="s">
        <v>153</v>
      </c>
      <c r="B67" s="1"/>
      <c r="C67" s="1"/>
      <c r="D67" s="1"/>
      <c r="E67" s="1"/>
      <c r="F67" s="1"/>
      <c r="G67" s="1"/>
      <c r="H67" s="28">
        <v>0</v>
      </c>
      <c r="I67" s="28"/>
      <c r="J67" s="28"/>
      <c r="K67" s="28"/>
      <c r="L67" s="28"/>
      <c r="M67" s="28">
        <v>0</v>
      </c>
      <c r="N67" s="28">
        <v>0</v>
      </c>
    </row>
    <row r="68" spans="1:14" ht="15">
      <c r="A68" s="1" t="s">
        <v>154</v>
      </c>
      <c r="B68" s="30">
        <f>B27/B25</f>
        <v>0.34621621621621623</v>
      </c>
      <c r="C68" s="30">
        <f>C27/C25</f>
        <v>0.37097555071411281</v>
      </c>
      <c r="D68" s="1"/>
      <c r="E68" s="1"/>
      <c r="F68" s="1"/>
      <c r="G68" s="1"/>
      <c r="H68" s="29">
        <f>C68+0.4%</f>
        <v>0.37497555071411282</v>
      </c>
      <c r="I68" s="1"/>
      <c r="J68" s="1"/>
      <c r="K68" s="1"/>
      <c r="L68" s="1"/>
      <c r="M68" s="29">
        <f>H68+0.3%</f>
        <v>0.37797555071411282</v>
      </c>
      <c r="N68" s="29">
        <f>M68+0.2%</f>
        <v>0.37997555071411282</v>
      </c>
    </row>
    <row r="69" spans="1:14" ht="15">
      <c r="A69" s="1" t="s">
        <v>155</v>
      </c>
      <c r="B69" s="30">
        <f>B28/B25</f>
        <v>8.2837837837837838E-2</v>
      </c>
      <c r="C69" s="30">
        <f>C28/C25</f>
        <v>7.649479544904382E-2</v>
      </c>
      <c r="D69" s="1"/>
      <c r="E69" s="1"/>
      <c r="F69" s="1"/>
      <c r="G69" s="1"/>
      <c r="H69" s="29">
        <f>C69-0.1%</f>
        <v>7.5494795449043819E-2</v>
      </c>
      <c r="I69" s="1"/>
      <c r="J69" s="1"/>
      <c r="K69" s="1"/>
      <c r="L69" s="1"/>
      <c r="M69" s="29">
        <f>H69-0.2%</f>
        <v>7.3494795449043818E-2</v>
      </c>
      <c r="N69" s="29">
        <f>M69-0.25%</f>
        <v>7.0994795449043815E-2</v>
      </c>
    </row>
    <row r="70" spans="1:14" ht="15">
      <c r="A70" s="1" t="s">
        <v>156</v>
      </c>
      <c r="B70" s="29">
        <v>0.23050000000000001</v>
      </c>
      <c r="C70" s="29">
        <v>0.16689999999999999</v>
      </c>
      <c r="D70" s="1"/>
      <c r="E70" s="1"/>
      <c r="F70" s="1"/>
      <c r="G70" s="1"/>
      <c r="H70" s="30">
        <f>C70*110%</f>
        <v>0.18359</v>
      </c>
      <c r="I70" s="1"/>
      <c r="J70" s="1"/>
      <c r="K70" s="1"/>
      <c r="L70" s="1"/>
      <c r="M70" s="28">
        <f>H70*105%</f>
        <v>0.19276950000000001</v>
      </c>
      <c r="N70" s="28">
        <f>M70</f>
        <v>0.19276950000000001</v>
      </c>
    </row>
    <row r="71" spans="1:14" ht="15">
      <c r="A71" s="1" t="s">
        <v>157</v>
      </c>
      <c r="B71" s="1">
        <f>B30</f>
        <v>28</v>
      </c>
      <c r="C71" s="31">
        <f>C30</f>
        <v>39</v>
      </c>
      <c r="D71" s="1"/>
      <c r="E71" s="1"/>
      <c r="F71" s="1"/>
      <c r="G71" s="1"/>
      <c r="H71" s="31">
        <f>C71</f>
        <v>39</v>
      </c>
      <c r="I71" s="1"/>
      <c r="J71" s="1"/>
      <c r="K71" s="1"/>
      <c r="L71" s="1"/>
      <c r="M71" s="1">
        <f>H71*1.05</f>
        <v>40.950000000000003</v>
      </c>
      <c r="N71" s="33">
        <f>M71*1.05</f>
        <v>42.997500000000002</v>
      </c>
    </row>
    <row r="72" spans="1:14" ht="15">
      <c r="A72" s="1" t="s">
        <v>158</v>
      </c>
      <c r="B72" s="31">
        <f>B31</f>
        <v>414</v>
      </c>
      <c r="C72" s="31">
        <f>C31</f>
        <v>367</v>
      </c>
      <c r="D72" s="1"/>
      <c r="E72" s="1"/>
      <c r="F72" s="1"/>
      <c r="G72" s="1"/>
      <c r="H72" s="31">
        <f>C72*95%</f>
        <v>348.65</v>
      </c>
      <c r="I72" s="1"/>
      <c r="J72" s="1"/>
      <c r="K72" s="1"/>
      <c r="L72" s="1"/>
      <c r="M72" s="31">
        <f>H72*95%</f>
        <v>331.21749999999997</v>
      </c>
      <c r="N72" s="31">
        <f>M72*95%</f>
        <v>314.65662499999996</v>
      </c>
    </row>
    <row r="73" spans="1:14" ht="15">
      <c r="A73" s="1" t="s">
        <v>159</v>
      </c>
      <c r="B73" s="30">
        <f>B50/B25</f>
        <v>-2.7972972972972972E-2</v>
      </c>
      <c r="C73" s="30">
        <f>C50/C25</f>
        <v>-3.2195594287097555E-2</v>
      </c>
      <c r="D73" s="1"/>
      <c r="E73" s="1"/>
      <c r="F73" s="1"/>
      <c r="G73" s="1"/>
      <c r="H73" s="29">
        <v>-0.03</v>
      </c>
      <c r="I73" s="1"/>
      <c r="J73" s="1"/>
      <c r="K73" s="1"/>
      <c r="L73" s="1"/>
      <c r="M73" s="29">
        <v>-0.03</v>
      </c>
      <c r="N73" s="29">
        <v>-0.03</v>
      </c>
    </row>
    <row r="74" spans="1:14" ht="15">
      <c r="A74" s="1" t="s">
        <v>160</v>
      </c>
      <c r="B74" s="1"/>
      <c r="C74" s="1"/>
      <c r="D74" s="1"/>
      <c r="E74" s="1"/>
      <c r="F74" s="1"/>
      <c r="G74" s="1"/>
      <c r="H74" s="29">
        <v>-5.0000000000000001E-3</v>
      </c>
      <c r="I74" s="1"/>
      <c r="J74" s="1"/>
      <c r="K74" s="1"/>
      <c r="L74" s="1"/>
      <c r="M74" s="30">
        <f>-0.5%</f>
        <v>-5.0000000000000001E-3</v>
      </c>
      <c r="N74" s="30">
        <f>-0.5%</f>
        <v>-5.0000000000000001E-3</v>
      </c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7" spans="1:14" ht="15">
      <c r="A77" s="40" t="s">
        <v>171</v>
      </c>
      <c r="B77" s="1"/>
      <c r="C77" s="1"/>
      <c r="D77" s="41">
        <v>0.24</v>
      </c>
      <c r="E77" s="41">
        <v>0.25</v>
      </c>
      <c r="F77" s="41">
        <v>0.25</v>
      </c>
      <c r="G77" s="41">
        <v>0.26</v>
      </c>
      <c r="H77" s="42"/>
      <c r="I77" s="41">
        <v>0.24</v>
      </c>
      <c r="J77" s="41">
        <v>0.25</v>
      </c>
      <c r="K77" s="41">
        <v>0.25</v>
      </c>
      <c r="L77" s="41">
        <v>0.26</v>
      </c>
    </row>
    <row r="78" spans="1:14" ht="15">
      <c r="A78" s="1"/>
      <c r="B78" s="1"/>
      <c r="C78" s="1"/>
      <c r="D78" s="41">
        <f>D77</f>
        <v>0.24</v>
      </c>
      <c r="E78" s="41">
        <f>E77+D77</f>
        <v>0.49</v>
      </c>
      <c r="F78" s="41">
        <f>F77+E77+D77</f>
        <v>0.74</v>
      </c>
      <c r="G78" s="41">
        <f>G77+F77+E77+D77</f>
        <v>1</v>
      </c>
      <c r="H78" s="42"/>
      <c r="I78" s="41">
        <f>I77</f>
        <v>0.24</v>
      </c>
      <c r="J78" s="41">
        <f>J77+I77</f>
        <v>0.49</v>
      </c>
      <c r="K78" s="41">
        <f>K77+J77+I77</f>
        <v>0.74</v>
      </c>
      <c r="L78" s="41">
        <f>L77+K77+J77+I77</f>
        <v>1</v>
      </c>
    </row>
  </sheetData>
  <pageMargins left="0.7" right="0.7" top="0.75" bottom="0.75" header="0.3" footer="0.3"/>
  <ignoredErrors>
    <ignoredError sqref="B15:C15" formulaRange="1"/>
    <ignoredError sqref="N71 C10 D15:G15 I15 C25 H31 H33 M44 M53 H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D3D0-BDAA-4E90-9CFC-6FDFBCBB7435}">
  <dimension ref="A1:N30"/>
  <sheetViews>
    <sheetView zoomScaleNormal="100" workbookViewId="0"/>
  </sheetViews>
  <sheetFormatPr defaultRowHeight="14.25"/>
  <cols>
    <col min="1" max="1" width="38.25" bestFit="1" customWidth="1"/>
    <col min="2" max="2" width="19.5" customWidth="1"/>
    <col min="3" max="3" width="10.5" customWidth="1"/>
    <col min="4" max="8" width="10" customWidth="1"/>
    <col min="9" max="9" width="13" customWidth="1"/>
    <col min="10" max="14" width="10" customWidth="1"/>
  </cols>
  <sheetData>
    <row r="1" spans="1:14" ht="1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 t="s">
        <v>145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>
      <c r="A3" s="8"/>
      <c r="B3" s="8" t="s">
        <v>92</v>
      </c>
      <c r="C3" s="8" t="s">
        <v>93</v>
      </c>
      <c r="D3" s="8" t="s">
        <v>94</v>
      </c>
      <c r="E3" s="8" t="s">
        <v>95</v>
      </c>
      <c r="F3" s="8" t="s">
        <v>96</v>
      </c>
      <c r="G3" s="8" t="s">
        <v>97</v>
      </c>
      <c r="H3" s="8" t="s">
        <v>97</v>
      </c>
      <c r="I3" s="8" t="s">
        <v>98</v>
      </c>
      <c r="J3" s="8" t="s">
        <v>99</v>
      </c>
      <c r="K3" s="8" t="s">
        <v>100</v>
      </c>
      <c r="L3" s="8" t="s">
        <v>101</v>
      </c>
      <c r="M3" s="8" t="s">
        <v>101</v>
      </c>
      <c r="N3" s="8" t="s">
        <v>102</v>
      </c>
    </row>
    <row r="4" spans="1:14" ht="15">
      <c r="A4" s="9"/>
      <c r="B4" s="9"/>
      <c r="C4" s="9"/>
      <c r="D4" s="9" t="s">
        <v>103</v>
      </c>
      <c r="E4" s="9" t="s">
        <v>104</v>
      </c>
      <c r="F4" s="9" t="s">
        <v>105</v>
      </c>
      <c r="G4" s="9" t="s">
        <v>106</v>
      </c>
      <c r="H4" s="9"/>
      <c r="I4" s="9" t="s">
        <v>103</v>
      </c>
      <c r="J4" s="9" t="s">
        <v>104</v>
      </c>
      <c r="K4" s="9" t="s">
        <v>105</v>
      </c>
      <c r="L4" s="9" t="s">
        <v>106</v>
      </c>
      <c r="M4" s="9"/>
      <c r="N4" s="9"/>
    </row>
    <row r="5" spans="1:14" ht="15">
      <c r="A5" s="2" t="s">
        <v>130</v>
      </c>
      <c r="B5" s="3">
        <f>B23/Estimates!B5</f>
        <v>32.746282719666162</v>
      </c>
      <c r="C5" s="3">
        <f>C23/Estimates!C5</f>
        <v>28.704283528509123</v>
      </c>
      <c r="D5" s="3"/>
      <c r="E5" s="3"/>
      <c r="F5" s="3"/>
      <c r="G5" s="3"/>
      <c r="H5" s="3">
        <f>H23/Estimates!H5</f>
        <v>26.614644696571592</v>
      </c>
      <c r="I5" s="3"/>
      <c r="J5" s="3"/>
      <c r="K5" s="3"/>
      <c r="L5" s="3"/>
      <c r="M5" s="3">
        <f>M23/Estimates!M5</f>
        <v>24.575397269354806</v>
      </c>
      <c r="N5" s="3">
        <f>N23/Estimates!N5</f>
        <v>22.604272592287401</v>
      </c>
    </row>
    <row r="6" spans="1:14" ht="15">
      <c r="A6" s="4" t="s">
        <v>131</v>
      </c>
      <c r="B6" s="5">
        <f>B23/(Estimates!B49/Estimates!B34)</f>
        <v>20.311958481691594</v>
      </c>
      <c r="C6" s="5">
        <f>C23/(Estimates!C49/Estimates!C34)</f>
        <v>22.322837591574277</v>
      </c>
      <c r="D6" s="5"/>
      <c r="E6" s="5"/>
      <c r="F6" s="5"/>
      <c r="G6" s="5"/>
      <c r="H6" s="5">
        <f>H23/(Estimates!H49/Estimates!H34)</f>
        <v>19.707167311390009</v>
      </c>
      <c r="I6" s="5"/>
      <c r="J6" s="5"/>
      <c r="K6" s="5"/>
      <c r="L6" s="5"/>
      <c r="M6" s="5">
        <f>M23/(Estimates!M49/Estimates!M34)</f>
        <v>18.425355023136184</v>
      </c>
      <c r="N6" s="5">
        <f>N23/(Estimates!N49/Estimates!N34)</f>
        <v>17.212211178751602</v>
      </c>
    </row>
    <row r="7" spans="1:14" ht="15">
      <c r="A7" s="2" t="s">
        <v>132</v>
      </c>
      <c r="B7" s="3">
        <f>B23/(Estimates!B44/Estimates!B34)</f>
        <v>3.5165078121428572</v>
      </c>
      <c r="C7" s="3">
        <f>C23/(Estimates!C44/Estimates!C34)</f>
        <v>4.1152713185905814</v>
      </c>
      <c r="D7" s="3"/>
      <c r="E7" s="3"/>
      <c r="F7" s="3"/>
      <c r="G7" s="3"/>
      <c r="H7" s="3">
        <f>H23/(Estimates!H44/Estimates!H34)</f>
        <v>3.5299688171911909</v>
      </c>
      <c r="I7" s="3"/>
      <c r="J7" s="3"/>
      <c r="K7" s="3"/>
      <c r="L7" s="3"/>
      <c r="M7" s="3">
        <f>M23/(Estimates!M44/Estimates!M34)</f>
        <v>3.0731097308035715</v>
      </c>
      <c r="N7" s="3">
        <f>N23/(Estimates!N44/Estimates!N34)</f>
        <v>2.6934002739660321</v>
      </c>
    </row>
    <row r="8" spans="1:14" ht="15">
      <c r="A8" s="4" t="s">
        <v>133</v>
      </c>
      <c r="B8" s="5">
        <f>B6</f>
        <v>20.311958481691594</v>
      </c>
      <c r="C8" s="5">
        <f>C6</f>
        <v>22.322837591574277</v>
      </c>
      <c r="D8" s="5"/>
      <c r="E8" s="5"/>
      <c r="F8" s="5"/>
      <c r="G8" s="5"/>
      <c r="H8" s="5">
        <f>H6</f>
        <v>19.707167311390009</v>
      </c>
      <c r="I8" s="5"/>
      <c r="J8" s="5"/>
      <c r="K8" s="5"/>
      <c r="L8" s="5"/>
      <c r="M8" s="5">
        <f>M6</f>
        <v>18.425355023136184</v>
      </c>
      <c r="N8" s="5">
        <f>N6</f>
        <v>17.212211178751602</v>
      </c>
    </row>
    <row r="9" spans="1:14" ht="15">
      <c r="A9" s="2" t="s">
        <v>134</v>
      </c>
      <c r="B9" s="3">
        <f>B23/(Estimates!B51/Estimates!B34)</f>
        <v>22.739542434180137</v>
      </c>
      <c r="C9" s="3">
        <f>C23/(Estimates!C51/Estimates!C34)</f>
        <v>25.308194453996983</v>
      </c>
      <c r="D9" s="3"/>
      <c r="E9" s="3"/>
      <c r="F9" s="3"/>
      <c r="G9" s="3"/>
      <c r="H9" s="3">
        <f>H23/(Estimates!H51/Estimates!H34)</f>
        <v>21.973375580605456</v>
      </c>
      <c r="I9" s="3"/>
      <c r="J9" s="3"/>
      <c r="K9" s="3"/>
      <c r="L9" s="3"/>
      <c r="M9" s="3">
        <f>M23/(Estimates!M51/Estimates!M34)</f>
        <v>20.521661310734046</v>
      </c>
      <c r="N9" s="3">
        <f>N23/(Estimates!N51/Estimates!N34)</f>
        <v>19.141686537186889</v>
      </c>
    </row>
    <row r="10" spans="1:14" ht="15">
      <c r="A10" s="4" t="s">
        <v>135</v>
      </c>
      <c r="B10" s="5">
        <f>B23/(Estimates!B25/Estimates!B34)</f>
        <v>5.3222820940540538</v>
      </c>
      <c r="C10" s="5">
        <f>C23/(Estimates!C25/Estimates!C34)</f>
        <v>6.0927134796659397</v>
      </c>
      <c r="D10" s="5"/>
      <c r="E10" s="5"/>
      <c r="F10" s="5"/>
      <c r="G10" s="5"/>
      <c r="H10" s="5">
        <f>H23/(Estimates!H25/Estimates!H34)</f>
        <v>5.7324782745530944</v>
      </c>
      <c r="I10" s="5"/>
      <c r="J10" s="5"/>
      <c r="K10" s="5"/>
      <c r="L10" s="5"/>
      <c r="M10" s="5">
        <f>M23/(Estimates!M25/Estimates!M34)</f>
        <v>5.4112163506619453</v>
      </c>
      <c r="N10" s="5">
        <f>N23/(Estimates!N25/Estimates!N34)</f>
        <v>5.1226995393615002</v>
      </c>
    </row>
    <row r="11" spans="1:14" ht="15">
      <c r="A11" s="2" t="s">
        <v>136</v>
      </c>
      <c r="B11" s="3">
        <f>B25/Estimates!B25</f>
        <v>5.3222820940540547</v>
      </c>
      <c r="C11" s="3">
        <f>C25/Estimates!C25</f>
        <v>6.0927134796659406</v>
      </c>
      <c r="D11" s="3"/>
      <c r="E11" s="3"/>
      <c r="F11" s="3"/>
      <c r="G11" s="3"/>
      <c r="H11" s="3">
        <f>H25/Estimates!H25</f>
        <v>6.4748127486228801</v>
      </c>
      <c r="I11" s="3"/>
      <c r="J11" s="3"/>
      <c r="K11" s="3"/>
      <c r="L11" s="3"/>
      <c r="M11" s="3">
        <f>M25/Estimates!M25</f>
        <v>5.8517867234407692</v>
      </c>
      <c r="N11" s="3">
        <f>N25/Estimates!N25</f>
        <v>5.2742552589679246</v>
      </c>
    </row>
    <row r="12" spans="1:14" ht="15">
      <c r="A12" s="4" t="s">
        <v>137</v>
      </c>
      <c r="B12" s="5">
        <f>B25/Estimates!B27</f>
        <v>15.3727117470726</v>
      </c>
      <c r="C12" s="5">
        <f>C25/Estimates!C27</f>
        <v>16.423490626101142</v>
      </c>
      <c r="D12" s="5"/>
      <c r="E12" s="5"/>
      <c r="F12" s="5"/>
      <c r="G12" s="5"/>
      <c r="H12" s="5">
        <f>H25/Estimates!H27</f>
        <v>17.267293124290596</v>
      </c>
      <c r="I12" s="5"/>
      <c r="J12" s="5"/>
      <c r="K12" s="5"/>
      <c r="L12" s="5"/>
      <c r="M12" s="5">
        <f>M25/Estimates!M27</f>
        <v>15.481918638348255</v>
      </c>
      <c r="N12" s="5">
        <f>N25/Estimates!N27</f>
        <v>13.88051217783795</v>
      </c>
    </row>
    <row r="13" spans="1:14" ht="15">
      <c r="A13" s="2" t="s">
        <v>138</v>
      </c>
      <c r="B13" s="3">
        <f>B25/Estimates!B29</f>
        <v>20.207741147255003</v>
      </c>
      <c r="C13" s="3">
        <f>C25/Estimates!C29</f>
        <v>20.689683012330455</v>
      </c>
      <c r="D13" s="3"/>
      <c r="E13" s="3"/>
      <c r="F13" s="3"/>
      <c r="G13" s="3"/>
      <c r="H13" s="3">
        <f>H25/Estimates!H29</f>
        <v>21.620129623661644</v>
      </c>
      <c r="I13" s="3"/>
      <c r="J13" s="3"/>
      <c r="K13" s="3"/>
      <c r="L13" s="3"/>
      <c r="M13" s="3">
        <f>M25/Estimates!M29</f>
        <v>19.218905044906474</v>
      </c>
      <c r="N13" s="3">
        <f>N25/Estimates!N29</f>
        <v>17.069850368005078</v>
      </c>
    </row>
    <row r="14" spans="1:14" ht="15">
      <c r="A14" s="4" t="s">
        <v>139</v>
      </c>
      <c r="B14" s="5">
        <f>B25/Estimates!B51</f>
        <v>22.739542434180141</v>
      </c>
      <c r="C14" s="5">
        <f>C25/Estimates!C51</f>
        <v>25.308194453996983</v>
      </c>
      <c r="D14" s="5"/>
      <c r="E14" s="5"/>
      <c r="F14" s="5"/>
      <c r="G14" s="5"/>
      <c r="H14" s="5">
        <f>H25/Estimates!H51</f>
        <v>24.818845449645348</v>
      </c>
      <c r="I14" s="5"/>
      <c r="J14" s="5"/>
      <c r="K14" s="5"/>
      <c r="L14" s="5"/>
      <c r="M14" s="5">
        <f>M25/Estimates!M51</f>
        <v>22.192493779409016</v>
      </c>
      <c r="N14" s="5">
        <f>N25/Estimates!N51</f>
        <v>19.70799577616005</v>
      </c>
    </row>
    <row r="15" spans="1:14" ht="15">
      <c r="A15" s="2" t="s">
        <v>140</v>
      </c>
      <c r="B15" s="3">
        <f>Estimates!B25/Estimates!B34</f>
        <v>12.776474226341408</v>
      </c>
      <c r="C15" s="3">
        <f>Estimates!C25/Estimates!C34</f>
        <v>14.279351932493986</v>
      </c>
      <c r="D15" s="3"/>
      <c r="E15" s="3"/>
      <c r="F15" s="3"/>
      <c r="G15" s="3"/>
      <c r="H15" s="3">
        <f>Estimates!H25/Estimates!H34</f>
        <v>15.08422637794318</v>
      </c>
      <c r="I15" s="3"/>
      <c r="J15" s="3"/>
      <c r="K15" s="3"/>
      <c r="L15" s="3"/>
      <c r="M15" s="3">
        <f>Estimates!M25/Estimates!M34</f>
        <v>15.979771348344308</v>
      </c>
      <c r="N15" s="3">
        <f>Estimates!N25/Estimates!N34</f>
        <v>16.879771951407037</v>
      </c>
    </row>
    <row r="16" spans="1:14" ht="15">
      <c r="A16" s="4" t="s">
        <v>141</v>
      </c>
      <c r="B16" s="34">
        <f>Estimates!B33/Estimates!B44</f>
        <v>0.10738647321428571</v>
      </c>
      <c r="C16" s="34">
        <f>Estimates!C33/Estimates!C44</f>
        <v>0.14336784663178548</v>
      </c>
      <c r="D16" s="34"/>
      <c r="E16" s="34"/>
      <c r="F16" s="34"/>
      <c r="G16" s="34"/>
      <c r="H16" s="34">
        <f>Estimates!H33/Estimates!H44</f>
        <v>0.13263257343600418</v>
      </c>
      <c r="I16" s="34"/>
      <c r="J16" s="34"/>
      <c r="K16" s="34"/>
      <c r="L16" s="34"/>
      <c r="M16" s="34">
        <f>Estimates!M33/Estimates!M44</f>
        <v>0.12504822189123665</v>
      </c>
      <c r="N16" s="34">
        <f>Estimates!N33/Estimates!N44</f>
        <v>0.11915447679059678</v>
      </c>
    </row>
    <row r="17" spans="1:14" ht="15">
      <c r="A17" s="2" t="s">
        <v>142</v>
      </c>
      <c r="B17" s="35">
        <f>Estimates!B29/Estimates!B44</f>
        <v>0.17401785714285714</v>
      </c>
      <c r="C17" s="35">
        <f>Estimates!C29/Estimates!C44</f>
        <v>0.19890451275343363</v>
      </c>
      <c r="D17" s="35"/>
      <c r="E17" s="35"/>
      <c r="F17" s="35"/>
      <c r="G17" s="35"/>
      <c r="H17" s="35">
        <f>Estimates!H29/Estimates!H44</f>
        <v>0.18441547910043785</v>
      </c>
      <c r="I17" s="35"/>
      <c r="J17" s="35"/>
      <c r="K17" s="35"/>
      <c r="L17" s="35"/>
      <c r="M17" s="35">
        <f>Estimates!M29/Estimates!M44</f>
        <v>0.17291912043639529</v>
      </c>
      <c r="N17" s="35">
        <f>Estimates!N29/Estimates!N44</f>
        <v>0.16245513610288687</v>
      </c>
    </row>
    <row r="18" spans="1:14" ht="15">
      <c r="A18" s="4" t="s">
        <v>143</v>
      </c>
      <c r="B18" s="34">
        <f>B16</f>
        <v>0.10738647321428571</v>
      </c>
      <c r="C18" s="34">
        <f>C16</f>
        <v>0.14336784663178548</v>
      </c>
      <c r="D18" s="34"/>
      <c r="E18" s="34"/>
      <c r="F18" s="34"/>
      <c r="G18" s="34"/>
      <c r="H18" s="34">
        <f>H16</f>
        <v>0.13263257343600418</v>
      </c>
      <c r="I18" s="34"/>
      <c r="J18" s="34"/>
      <c r="K18" s="34"/>
      <c r="L18" s="34"/>
      <c r="M18" s="34">
        <f>M16</f>
        <v>0.12504822189123665</v>
      </c>
      <c r="N18" s="34">
        <f>N16</f>
        <v>0.11915447679059678</v>
      </c>
    </row>
    <row r="19" spans="1:14">
      <c r="A19" s="10" t="s">
        <v>144</v>
      </c>
    </row>
    <row r="21" spans="1:14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">
      <c r="A22" s="38"/>
      <c r="B22" s="38" t="s">
        <v>170</v>
      </c>
      <c r="C22" s="38" t="s">
        <v>168</v>
      </c>
      <c r="D22" s="38"/>
      <c r="E22" s="38"/>
      <c r="F22" s="38"/>
      <c r="G22" s="38"/>
      <c r="H22" s="38" t="s">
        <v>169</v>
      </c>
      <c r="I22" s="38"/>
      <c r="J22" s="38"/>
      <c r="K22" s="38"/>
      <c r="L22" s="38"/>
      <c r="M22" s="38" t="s">
        <v>167</v>
      </c>
      <c r="N22" s="38" t="s">
        <v>167</v>
      </c>
    </row>
    <row r="23" spans="1:14" ht="15">
      <c r="A23" s="40" t="s">
        <v>164</v>
      </c>
      <c r="B23" s="39">
        <v>68</v>
      </c>
      <c r="C23" s="39">
        <v>87</v>
      </c>
      <c r="D23" s="39"/>
      <c r="E23" s="39"/>
      <c r="F23" s="39"/>
      <c r="G23" s="39"/>
      <c r="H23" s="39">
        <v>86.47</v>
      </c>
      <c r="I23" s="39"/>
      <c r="J23" s="39"/>
      <c r="K23" s="39"/>
      <c r="L23" s="39"/>
      <c r="M23" s="39">
        <v>86.47</v>
      </c>
      <c r="N23" s="39">
        <v>86.47</v>
      </c>
    </row>
    <row r="24" spans="1:14" ht="15">
      <c r="A24" s="40" t="s">
        <v>165</v>
      </c>
      <c r="B24" s="39">
        <f>B23*Estimates!B34</f>
        <v>39384.887496000003</v>
      </c>
      <c r="C24" s="39">
        <f>C23*Estimates!C34</f>
        <v>50337.998768999998</v>
      </c>
      <c r="D24" s="39"/>
      <c r="E24" s="39"/>
      <c r="F24" s="39"/>
      <c r="G24" s="39"/>
      <c r="H24" s="39">
        <f>H23*Estimates!H34</f>
        <v>49781.185284915548</v>
      </c>
      <c r="I24" s="39"/>
      <c r="J24" s="39"/>
      <c r="K24" s="39"/>
      <c r="L24" s="39"/>
      <c r="M24" s="39">
        <f>M23*Estimates!M34</f>
        <v>49532.279358490967</v>
      </c>
      <c r="N24" s="39">
        <f>N23*Estimates!N34</f>
        <v>49284.61796169851</v>
      </c>
    </row>
    <row r="25" spans="1:14" ht="15">
      <c r="A25" s="40" t="s">
        <v>166</v>
      </c>
      <c r="B25" s="39">
        <f>B24+Estimates!B43</f>
        <v>39384.887496000003</v>
      </c>
      <c r="C25" s="39">
        <f>C24+Estimates!C43</f>
        <v>50337.998768999998</v>
      </c>
      <c r="D25" s="39"/>
      <c r="E25" s="39"/>
      <c r="F25" s="39"/>
      <c r="G25" s="39"/>
      <c r="H25" s="39">
        <f>H24+Estimates!H43</f>
        <v>56227.662397806009</v>
      </c>
      <c r="I25" s="39"/>
      <c r="J25" s="39"/>
      <c r="K25" s="39"/>
      <c r="L25" s="39"/>
      <c r="M25" s="39">
        <f>M24+Estimates!M43</f>
        <v>53565.098112611871</v>
      </c>
      <c r="N25" s="39">
        <f>N24+Estimates!N43</f>
        <v>50742.709673562589</v>
      </c>
    </row>
    <row r="26" spans="1:14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Financials</vt:lpstr>
      <vt:lpstr>Estimates</vt:lpstr>
      <vt:lpstr>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KamranShaikh</dc:creator>
  <cp:lastModifiedBy>Kanopy ny</cp:lastModifiedBy>
  <dcterms:created xsi:type="dcterms:W3CDTF">2026-03-18T00:17:28Z</dcterms:created>
  <dcterms:modified xsi:type="dcterms:W3CDTF">2026-03-18T07:25:04Z</dcterms:modified>
</cp:coreProperties>
</file>